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4576" windowHeight="13092" tabRatio="854" activeTab="6"/>
  </bookViews>
  <sheets>
    <sheet name="Anti-flex" sheetId="1" r:id="rId1"/>
    <sheet name="Beam stability" sheetId="2" r:id="rId2"/>
    <sheet name="Axial force" sheetId="3" r:id="rId3"/>
    <sheet name="ψx" sheetId="4" r:id="rId4"/>
    <sheet name="Bending" sheetId="5" r:id="rId5"/>
    <sheet name="Simply supported beam" sheetId="6" r:id="rId6"/>
    <sheet name="Cantilever beam" sheetId="7" r:id="rId7"/>
    <sheet name="Embedded parts" sheetId="8" r:id="rId8"/>
    <sheet name="HILTI" sheetId="9" r:id="rId9"/>
    <sheet name="H" sheetId="10" r:id="rId10"/>
  </sheets>
  <definedNames>
    <definedName name="B">'Cantilever beam'!$H$19</definedName>
    <definedName name="dist">'HILTI'!$G$21</definedName>
    <definedName name="E">'Simply supported beam'!$H$11</definedName>
    <definedName name="F">'Simply supported beam'!$H$12</definedName>
    <definedName name="g">'Simply supported beam'!$H$8</definedName>
    <definedName name="h">'Cantilever beam'!$H$18</definedName>
    <definedName name="Ix">'Simply supported beam'!$H$9</definedName>
    <definedName name="L">'Simply supported beam'!$D$26</definedName>
    <definedName name="M">'Simply supported beam'!$L$11</definedName>
    <definedName name="n">'HILTI'!$I$19</definedName>
    <definedName name="_xlnm.Print_Area" localSheetId="9">'H'!$C$1:$M$22</definedName>
    <definedName name="q">'Simply supported beam'!$H$26</definedName>
    <definedName name="Wx">'Simply supported beam'!$H$10</definedName>
  </definedNames>
  <calcPr fullCalcOnLoad="1"/>
</workbook>
</file>

<file path=xl/sharedStrings.xml><?xml version="1.0" encoding="utf-8"?>
<sst xmlns="http://schemas.openxmlformats.org/spreadsheetml/2006/main" count="885" uniqueCount="367">
  <si>
    <t>b</t>
  </si>
  <si>
    <t>B</t>
  </si>
  <si>
    <t>F=</t>
  </si>
  <si>
    <t>a</t>
  </si>
  <si>
    <t>mm</t>
  </si>
  <si>
    <t>KN</t>
  </si>
  <si>
    <t>KN-m</t>
  </si>
  <si>
    <t>C</t>
  </si>
  <si>
    <t>N/mm^2</t>
  </si>
  <si>
    <t>a=</t>
  </si>
  <si>
    <t>m</t>
  </si>
  <si>
    <t>b=</t>
  </si>
  <si>
    <t>mm</t>
  </si>
  <si>
    <t>L=</t>
  </si>
  <si>
    <t>M=</t>
  </si>
  <si>
    <t xml:space="preserve">  F</t>
  </si>
  <si>
    <t>L</t>
  </si>
  <si>
    <t>q=</t>
  </si>
  <si>
    <t>cm^3</t>
  </si>
  <si>
    <t>N/mm^2</t>
  </si>
  <si>
    <t>H(mm)</t>
  </si>
  <si>
    <t>B(mm)</t>
  </si>
  <si>
    <t>Ix(cm^4)</t>
  </si>
  <si>
    <t>Wx(cm^3)</t>
  </si>
  <si>
    <t>HW150x150</t>
  </si>
  <si>
    <t>HW175x175</t>
  </si>
  <si>
    <t>HW200x200</t>
  </si>
  <si>
    <t>HW250x250</t>
  </si>
  <si>
    <t>r(mm)</t>
  </si>
  <si>
    <t>HM148x100</t>
  </si>
  <si>
    <t>HM194x150</t>
  </si>
  <si>
    <t>HM244x175</t>
  </si>
  <si>
    <t>HM294x200</t>
  </si>
  <si>
    <t>HM340x250</t>
  </si>
  <si>
    <t>HM390x300</t>
  </si>
  <si>
    <t>HM440x300</t>
  </si>
  <si>
    <t>HM482x300</t>
  </si>
  <si>
    <t>HM488x399</t>
  </si>
  <si>
    <t>HM582x300</t>
  </si>
  <si>
    <t>HM588x300</t>
  </si>
  <si>
    <t>HM594x302</t>
  </si>
  <si>
    <t>HW200x204</t>
  </si>
  <si>
    <t>HW250x255</t>
  </si>
  <si>
    <t>HW294x302</t>
  </si>
  <si>
    <t>HW300x300</t>
  </si>
  <si>
    <t>HW300x305</t>
  </si>
  <si>
    <t>HW344x348</t>
  </si>
  <si>
    <t>HW350x350</t>
  </si>
  <si>
    <t>HW388x402</t>
  </si>
  <si>
    <t>HW394x398</t>
  </si>
  <si>
    <t>HW400x400</t>
  </si>
  <si>
    <t>HW400x408</t>
  </si>
  <si>
    <t>HW414x405</t>
  </si>
  <si>
    <t>HW428x407</t>
  </si>
  <si>
    <t>HW458x417</t>
  </si>
  <si>
    <t>HW498x432</t>
  </si>
  <si>
    <t>HN100x50</t>
  </si>
  <si>
    <t>HN125x60</t>
  </si>
  <si>
    <t>HN150x75</t>
  </si>
  <si>
    <t>HN175x90</t>
  </si>
  <si>
    <t>HN198x99</t>
  </si>
  <si>
    <t>HN200x100</t>
  </si>
  <si>
    <t>HN248x124</t>
  </si>
  <si>
    <t>HN250x125</t>
  </si>
  <si>
    <t>HN298x149</t>
  </si>
  <si>
    <t>HN300x150</t>
  </si>
  <si>
    <t>HN346x174</t>
  </si>
  <si>
    <t>HN350x175</t>
  </si>
  <si>
    <t>HN400x150</t>
  </si>
  <si>
    <t>HN396x199</t>
  </si>
  <si>
    <t>HN400x200</t>
  </si>
  <si>
    <t>HN450x150</t>
  </si>
  <si>
    <t>HN446x199</t>
  </si>
  <si>
    <t>HN450x200</t>
  </si>
  <si>
    <t>HN500x150</t>
  </si>
  <si>
    <t>HN496x199</t>
  </si>
  <si>
    <t>HN500x200</t>
  </si>
  <si>
    <t>HN506x201</t>
  </si>
  <si>
    <t>HN596x199</t>
  </si>
  <si>
    <t>HN600x200</t>
  </si>
  <si>
    <t>HN606x201</t>
  </si>
  <si>
    <t>HN692x300</t>
  </si>
  <si>
    <t>HN700x300</t>
  </si>
  <si>
    <t>HN792x300</t>
  </si>
  <si>
    <t>HN800x300</t>
  </si>
  <si>
    <t>HN890x299</t>
  </si>
  <si>
    <t>HN900x300</t>
  </si>
  <si>
    <t>HN912x302</t>
  </si>
  <si>
    <t>HW100x100</t>
  </si>
  <si>
    <t>HW125x125</t>
  </si>
  <si>
    <t>Name</t>
  </si>
  <si>
    <t>Kg/m</t>
  </si>
  <si>
    <t>cm^4</t>
  </si>
  <si>
    <t>L=</t>
  </si>
  <si>
    <t>A</t>
  </si>
  <si>
    <t>R,B=</t>
  </si>
  <si>
    <t>R,A=</t>
  </si>
  <si>
    <t>M,c=</t>
  </si>
  <si>
    <t>M,F=</t>
  </si>
  <si>
    <t>KN/m</t>
  </si>
  <si>
    <t>L=</t>
  </si>
  <si>
    <t>A</t>
  </si>
  <si>
    <t>B</t>
  </si>
  <si>
    <t>M,max=</t>
  </si>
  <si>
    <t>q</t>
  </si>
  <si>
    <t>M,q=</t>
  </si>
  <si>
    <t xml:space="preserve">    F</t>
  </si>
  <si>
    <t>b</t>
  </si>
  <si>
    <t>L</t>
  </si>
  <si>
    <t xml:space="preserve">    a</t>
  </si>
  <si>
    <t xml:space="preserve">    q</t>
  </si>
  <si>
    <t>q=</t>
  </si>
  <si>
    <t xml:space="preserve">    C</t>
  </si>
  <si>
    <t>L=n*c</t>
  </si>
  <si>
    <t>C    C   C</t>
  </si>
  <si>
    <t xml:space="preserve">      C     C     C</t>
  </si>
  <si>
    <t>C=</t>
  </si>
  <si>
    <t xml:space="preserve">  n*F</t>
  </si>
  <si>
    <t>F=</t>
  </si>
  <si>
    <t>KN</t>
  </si>
  <si>
    <t>n=</t>
  </si>
  <si>
    <t xml:space="preserve"> </t>
  </si>
  <si>
    <t>L</t>
  </si>
  <si>
    <t>q=</t>
  </si>
  <si>
    <t>KN/m</t>
  </si>
  <si>
    <t xml:space="preserve">      q</t>
  </si>
  <si>
    <t>A=</t>
  </si>
  <si>
    <t>B=</t>
  </si>
  <si>
    <t>C=</t>
  </si>
  <si>
    <t>D=</t>
  </si>
  <si>
    <t>Lx=</t>
  </si>
  <si>
    <t>Ly=</t>
  </si>
  <si>
    <t>δ=</t>
  </si>
  <si>
    <t>M8</t>
  </si>
  <si>
    <t>M10</t>
  </si>
  <si>
    <t>M12</t>
  </si>
  <si>
    <t>M16</t>
  </si>
  <si>
    <t>M20</t>
  </si>
  <si>
    <t>M24</t>
  </si>
  <si>
    <t>M27</t>
  </si>
  <si>
    <t>M30</t>
  </si>
  <si>
    <t>M33</t>
  </si>
  <si>
    <t>M36</t>
  </si>
  <si>
    <t>M39</t>
  </si>
  <si>
    <t>N=</t>
  </si>
  <si>
    <t>C30</t>
  </si>
  <si>
    <t>C35</t>
  </si>
  <si>
    <t>C40</t>
  </si>
  <si>
    <t>C45</t>
  </si>
  <si>
    <t>C50</t>
  </si>
  <si>
    <t>C55</t>
  </si>
  <si>
    <t>C60</t>
  </si>
  <si>
    <t>KN</t>
  </si>
  <si>
    <t>mm</t>
  </si>
  <si>
    <t>e=</t>
  </si>
  <si>
    <t>C25</t>
  </si>
  <si>
    <t>C20</t>
  </si>
  <si>
    <t>ix(cm)</t>
  </si>
  <si>
    <t>Iy(cm^4)</t>
  </si>
  <si>
    <t>Wy(cm^3)</t>
  </si>
  <si>
    <t>iy(cm)</t>
  </si>
  <si>
    <t>cm^4</t>
  </si>
  <si>
    <t>cm^3</t>
  </si>
  <si>
    <t>cm</t>
  </si>
  <si>
    <t>cm^2</t>
  </si>
  <si>
    <t>KN/m</t>
  </si>
  <si>
    <t>A.</t>
  </si>
  <si>
    <t>Mx=</t>
  </si>
  <si>
    <t>My=</t>
  </si>
  <si>
    <t>γx=</t>
  </si>
  <si>
    <t>γy=</t>
  </si>
  <si>
    <t>KN-m</t>
  </si>
  <si>
    <t>KN-m</t>
  </si>
  <si>
    <t>B.</t>
  </si>
  <si>
    <t>V=</t>
  </si>
  <si>
    <t>KN</t>
  </si>
  <si>
    <t>cm^2</t>
  </si>
  <si>
    <t>cm</t>
  </si>
  <si>
    <t>τ=</t>
  </si>
  <si>
    <t>A,tf=</t>
  </si>
  <si>
    <t>a,tf=</t>
  </si>
  <si>
    <t>S.tf=</t>
  </si>
  <si>
    <t>A,tw=</t>
  </si>
  <si>
    <t>cm^2</t>
  </si>
  <si>
    <t>S,tw=</t>
  </si>
  <si>
    <t>a,tw=</t>
  </si>
  <si>
    <t>S=</t>
  </si>
  <si>
    <t>C.</t>
  </si>
  <si>
    <t>A,web=</t>
  </si>
  <si>
    <t>mm^2</t>
  </si>
  <si>
    <t>N/mm^2</t>
  </si>
  <si>
    <t>f</t>
  </si>
  <si>
    <t>ft</t>
  </si>
  <si>
    <t>fce</t>
  </si>
  <si>
    <t>Q235</t>
  </si>
  <si>
    <t>&lt;=16</t>
  </si>
  <si>
    <t>&gt;16~40</t>
  </si>
  <si>
    <t>&gt;40~60</t>
  </si>
  <si>
    <t>&gt;60~100</t>
  </si>
  <si>
    <t>Q345</t>
  </si>
  <si>
    <t>&gt;16~35</t>
  </si>
  <si>
    <t>&gt;35~50</t>
  </si>
  <si>
    <t>&gt;50~100</t>
  </si>
  <si>
    <t>Q390</t>
  </si>
  <si>
    <t>ψ=</t>
  </si>
  <si>
    <t>lz=</t>
  </si>
  <si>
    <t>a=</t>
  </si>
  <si>
    <t>σ=</t>
  </si>
  <si>
    <t>σc=</t>
  </si>
  <si>
    <t>mm</t>
  </si>
  <si>
    <t>mm</t>
  </si>
  <si>
    <t>lz=a+5hy+2hR</t>
  </si>
  <si>
    <t>h,R=</t>
  </si>
  <si>
    <t>h,y=</t>
  </si>
  <si>
    <t>KN/m</t>
  </si>
  <si>
    <t>mm</t>
  </si>
  <si>
    <t>βb</t>
  </si>
  <si>
    <t>b1=</t>
  </si>
  <si>
    <t>h=</t>
  </si>
  <si>
    <t>ξ=</t>
  </si>
  <si>
    <t>βb=</t>
  </si>
  <si>
    <t>M1=</t>
  </si>
  <si>
    <t>KN-m</t>
  </si>
  <si>
    <t>λy=</t>
  </si>
  <si>
    <t>fy=</t>
  </si>
  <si>
    <t>ψb=</t>
  </si>
  <si>
    <t>ψb,1=</t>
  </si>
  <si>
    <t>ψb,2=</t>
  </si>
  <si>
    <t>Mx=</t>
  </si>
  <si>
    <t>My=</t>
  </si>
  <si>
    <t>γy=</t>
  </si>
  <si>
    <t>No.15:</t>
  </si>
  <si>
    <t>mm^2</t>
  </si>
  <si>
    <t>n1=</t>
  </si>
  <si>
    <t>An=</t>
  </si>
  <si>
    <t>α1</t>
  </si>
  <si>
    <t>α2</t>
  </si>
  <si>
    <t>α3</t>
  </si>
  <si>
    <t>&gt;16~40</t>
  </si>
  <si>
    <t>&gt;40~60</t>
  </si>
  <si>
    <t>&gt;60~100</t>
  </si>
  <si>
    <t>Q345</t>
  </si>
  <si>
    <t>&lt;=16</t>
  </si>
  <si>
    <t>&gt;16~35</t>
  </si>
  <si>
    <t>&gt;35~50</t>
  </si>
  <si>
    <t>&gt;50~100</t>
  </si>
  <si>
    <t>Q390</t>
  </si>
  <si>
    <t>N/mm^2</t>
  </si>
  <si>
    <t>mm</t>
  </si>
  <si>
    <t>ix=</t>
  </si>
  <si>
    <t>λx=</t>
  </si>
  <si>
    <t>λn=</t>
  </si>
  <si>
    <t>α1=</t>
  </si>
  <si>
    <t>α2=</t>
  </si>
  <si>
    <t>α3=</t>
  </si>
  <si>
    <t>λn&lt;=1.05</t>
  </si>
  <si>
    <t>λn&gt;1.05</t>
  </si>
  <si>
    <t>Φx=</t>
  </si>
  <si>
    <t>iy=</t>
  </si>
  <si>
    <t>λy=</t>
  </si>
  <si>
    <t>φ=</t>
  </si>
  <si>
    <t>Material:</t>
  </si>
  <si>
    <t>Bearing load:</t>
  </si>
  <si>
    <t>Tensile, flexural, compressive resistance</t>
  </si>
  <si>
    <t>Shear resistance</t>
  </si>
  <si>
    <t>End bearing</t>
  </si>
  <si>
    <t>Section:</t>
  </si>
  <si>
    <t>Spec.:</t>
  </si>
  <si>
    <t>Height H=</t>
  </si>
  <si>
    <t>Width B=</t>
  </si>
  <si>
    <t>Web thickness tw=</t>
  </si>
  <si>
    <t>Flange thickness tf=</t>
  </si>
  <si>
    <t>Radius r=</t>
  </si>
  <si>
    <t>Area a=</t>
  </si>
  <si>
    <t>Self weight g=</t>
  </si>
  <si>
    <t>Moment of inertia Ix=</t>
  </si>
  <si>
    <t>Anti-flex section modulus Wx=</t>
  </si>
  <si>
    <t>Gyration radius ix=</t>
  </si>
  <si>
    <t>Moment of inertia Iy=</t>
  </si>
  <si>
    <t>Anti-flex section modulus Wy=</t>
  </si>
  <si>
    <t>Gyration radius iy=</t>
  </si>
  <si>
    <r>
      <rPr>
        <b/>
        <sz val="10"/>
        <rFont val="Arial"/>
        <family val="2"/>
      </rPr>
      <t>Bending moment</t>
    </r>
    <r>
      <rPr>
        <b/>
        <sz val="10"/>
        <rFont val="宋体"/>
        <family val="0"/>
      </rPr>
      <t>：</t>
    </r>
    <r>
      <rPr>
        <b/>
        <sz val="10"/>
        <rFont val="Arial"/>
        <family val="2"/>
      </rPr>
      <t>M-&gt;σ</t>
    </r>
  </si>
  <si>
    <t>Concentrated load-local stress</t>
  </si>
  <si>
    <r>
      <rPr>
        <b/>
        <sz val="10"/>
        <rFont val="Arial"/>
        <family val="2"/>
      </rPr>
      <t>Shear force</t>
    </r>
    <r>
      <rPr>
        <b/>
        <sz val="10"/>
        <rFont val="宋体"/>
        <family val="0"/>
      </rPr>
      <t>：</t>
    </r>
    <r>
      <rPr>
        <b/>
        <sz val="10"/>
        <rFont val="Arial"/>
        <family val="2"/>
      </rPr>
      <t>V-&gt;τ</t>
    </r>
  </si>
  <si>
    <t>By rectangular Web</t>
  </si>
  <si>
    <t>H-shape / rectangle=</t>
  </si>
  <si>
    <t>Grade</t>
  </si>
  <si>
    <t>Thickness</t>
  </si>
  <si>
    <r>
      <t>M</t>
    </r>
    <r>
      <rPr>
        <sz val="10"/>
        <rFont val="Arial"/>
        <family val="2"/>
      </rPr>
      <t>2=</t>
    </r>
  </si>
  <si>
    <r>
      <t>K</t>
    </r>
    <r>
      <rPr>
        <sz val="10"/>
        <rFont val="Arial"/>
        <family val="2"/>
      </rPr>
      <t>N-m</t>
    </r>
  </si>
  <si>
    <r>
      <t>t</t>
    </r>
    <r>
      <rPr>
        <sz val="10"/>
        <rFont val="Arial"/>
        <family val="2"/>
      </rPr>
      <t>1=</t>
    </r>
  </si>
  <si>
    <r>
      <t>f</t>
    </r>
    <r>
      <rPr>
        <sz val="10"/>
        <rFont val="Arial"/>
        <family val="2"/>
      </rPr>
      <t>y</t>
    </r>
  </si>
  <si>
    <t>Two lateral supports</t>
  </si>
  <si>
    <t>When bending moment at both ends:</t>
  </si>
  <si>
    <r>
      <rPr>
        <sz val="10"/>
        <rFont val="Arial"/>
        <family val="2"/>
      </rPr>
      <t>Lateral unsupported length</t>
    </r>
    <r>
      <rPr>
        <sz val="10"/>
        <rFont val="Arial"/>
        <family val="2"/>
      </rPr>
      <t>l1=</t>
    </r>
  </si>
  <si>
    <t>Approximate calculation:</t>
  </si>
  <si>
    <t>Stability checking calculation</t>
  </si>
  <si>
    <t>No lateral support in the middle of the span  Uniformly distributed load acting on  Upper flange</t>
  </si>
  <si>
    <t>No lateral support in the middle of the span  Concentrated load acting on  Lower flange</t>
  </si>
  <si>
    <t>There is bending moment at the beam end, but no load in the middle of the span</t>
  </si>
  <si>
    <t>No lateral support in the middle of the span  Uniformly distributed load acting on  Lower flange</t>
  </si>
  <si>
    <t>No lateral support in the middle of the span  Concentrated load acting on  Upper flange</t>
  </si>
  <si>
    <t>A lateral support point at the midpoint of the span  Uniformly distributed load acting on  Upper flange</t>
  </si>
  <si>
    <t>A lateral support point at the midpoint of the span   Uniformly distributed load acting on   Lower flange</t>
  </si>
  <si>
    <t>A lateral support point in the span  Concentrated load acts at any position on the section height</t>
  </si>
  <si>
    <t>At least two equidistant lateral support points in the middle of the span  Any load acting on  Upper flange</t>
  </si>
  <si>
    <t>At least two equidistant lateral support points in the middle of the span  Any load acting on  Lower flange</t>
  </si>
  <si>
    <t>A. Axial force:</t>
  </si>
  <si>
    <t>B. High strength bolt friction type</t>
  </si>
  <si>
    <t>C. Stability of solid web axial compression members</t>
  </si>
  <si>
    <t>Strength</t>
  </si>
  <si>
    <t>Stable</t>
  </si>
  <si>
    <t>Section type</t>
  </si>
  <si>
    <r>
      <t xml:space="preserve">Yield strength </t>
    </r>
    <r>
      <rPr>
        <sz val="10"/>
        <rFont val="Arial"/>
        <family val="2"/>
      </rPr>
      <t>fy=</t>
    </r>
  </si>
  <si>
    <r>
      <t xml:space="preserve">Elastic modulus </t>
    </r>
    <r>
      <rPr>
        <sz val="10"/>
        <rFont val="Arial"/>
        <family val="2"/>
      </rPr>
      <t>E=</t>
    </r>
  </si>
  <si>
    <t>Class b</t>
  </si>
  <si>
    <t>Class a</t>
  </si>
  <si>
    <t>Class c</t>
  </si>
  <si>
    <t>Class d</t>
  </si>
  <si>
    <t>Class c  λn&lt;=1.05</t>
  </si>
  <si>
    <t>Class c  λn&gt;1.05</t>
  </si>
  <si>
    <t>Calculation of mechanical properties of H-section steel</t>
  </si>
  <si>
    <r>
      <rPr>
        <sz val="10"/>
        <rFont val="Arial"/>
        <family val="2"/>
      </rPr>
      <t xml:space="preserve">Yield strength </t>
    </r>
    <r>
      <rPr>
        <sz val="10"/>
        <rFont val="Arial"/>
        <family val="2"/>
      </rPr>
      <t>fy=</t>
    </r>
  </si>
  <si>
    <r>
      <rPr>
        <sz val="10"/>
        <rFont val="Arial"/>
        <family val="2"/>
      </rPr>
      <t xml:space="preserve">Elastic modulus </t>
    </r>
    <r>
      <rPr>
        <sz val="10"/>
        <rFont val="Arial"/>
        <family val="2"/>
      </rPr>
      <t>E=</t>
    </r>
  </si>
  <si>
    <t>Web thickness=</t>
  </si>
  <si>
    <t>Flange thickness=</t>
  </si>
  <si>
    <t>Self weight=</t>
  </si>
  <si>
    <t>Modulus of elasticity E=</t>
  </si>
  <si>
    <r>
      <t xml:space="preserve">M, </t>
    </r>
    <r>
      <rPr>
        <sz val="10"/>
        <rFont val="Arial"/>
        <family val="2"/>
      </rPr>
      <t>Self weight</t>
    </r>
    <r>
      <rPr>
        <sz val="10"/>
        <rFont val="Arial"/>
        <family val="2"/>
      </rPr>
      <t>=</t>
    </r>
  </si>
  <si>
    <t>Calculation results</t>
  </si>
  <si>
    <r>
      <rPr>
        <sz val="10"/>
        <rFont val="Arial"/>
        <family val="2"/>
      </rPr>
      <t xml:space="preserve">Strength </t>
    </r>
    <r>
      <rPr>
        <sz val="10"/>
        <rFont val="Arial"/>
        <family val="2"/>
      </rPr>
      <t>σ=</t>
    </r>
  </si>
  <si>
    <r>
      <rPr>
        <sz val="10"/>
        <rFont val="Arial"/>
        <family val="2"/>
      </rPr>
      <t xml:space="preserve">Deflection </t>
    </r>
    <r>
      <rPr>
        <sz val="10"/>
        <rFont val="Arial"/>
        <family val="2"/>
      </rPr>
      <t>ωc=</t>
    </r>
  </si>
  <si>
    <r>
      <rPr>
        <sz val="10"/>
        <rFont val="Arial"/>
        <family val="2"/>
      </rPr>
      <t>Length/deflection</t>
    </r>
    <r>
      <rPr>
        <sz val="10"/>
        <rFont val="Arial"/>
        <family val="2"/>
      </rPr>
      <t>=</t>
    </r>
  </si>
  <si>
    <r>
      <t>M,</t>
    </r>
    <r>
      <rPr>
        <sz val="10"/>
        <rFont val="宋体"/>
        <family val="0"/>
      </rPr>
      <t xml:space="preserve"> </t>
    </r>
    <r>
      <rPr>
        <sz val="10"/>
        <rFont val="Arial"/>
        <family val="2"/>
      </rPr>
      <t>Self weight</t>
    </r>
    <r>
      <rPr>
        <sz val="10"/>
        <rFont val="Arial"/>
        <family val="2"/>
      </rPr>
      <t>=</t>
    </r>
  </si>
  <si>
    <t>Bolt total</t>
  </si>
  <si>
    <t>Row</t>
  </si>
  <si>
    <t>Column</t>
  </si>
  <si>
    <t>Load</t>
  </si>
  <si>
    <t>Concrete grade:</t>
  </si>
  <si>
    <t>Bearing load adjustment factor:</t>
  </si>
  <si>
    <t>Minimum spacing:</t>
  </si>
  <si>
    <t>Critical spacing:</t>
  </si>
  <si>
    <t>Minimum margin:</t>
  </si>
  <si>
    <t>Critical margin:</t>
  </si>
  <si>
    <t>Hole depth:</t>
  </si>
  <si>
    <r>
      <rPr>
        <sz val="10"/>
        <rFont val="Arial"/>
        <family val="2"/>
      </rPr>
      <t xml:space="preserve">Single </t>
    </r>
    <r>
      <rPr>
        <sz val="10"/>
        <rFont val="Arial"/>
        <family val="2"/>
      </rPr>
      <t xml:space="preserve">HVA HILTI </t>
    </r>
    <r>
      <rPr>
        <sz val="10"/>
        <rFont val="Arial"/>
        <family val="2"/>
      </rPr>
      <t>chemical bolt</t>
    </r>
  </si>
  <si>
    <t>Tensile capacity</t>
  </si>
  <si>
    <t>Shear capacity</t>
  </si>
  <si>
    <t>Single bolt tension:</t>
  </si>
  <si>
    <t>Single bolt shear:</t>
  </si>
  <si>
    <t>Individual bolt compliance stress:</t>
  </si>
  <si>
    <t>Calculation results:</t>
  </si>
  <si>
    <r>
      <rPr>
        <sz val="10"/>
        <rFont val="宋体"/>
        <family val="0"/>
      </rPr>
      <t>型号</t>
    </r>
  </si>
  <si>
    <r>
      <rPr>
        <sz val="10"/>
        <rFont val="宋体"/>
        <family val="0"/>
      </rPr>
      <t>腹板</t>
    </r>
    <r>
      <rPr>
        <sz val="10"/>
        <rFont val="Arial"/>
        <family val="2"/>
      </rPr>
      <t>(mm)</t>
    </r>
  </si>
  <si>
    <r>
      <rPr>
        <sz val="10"/>
        <rFont val="宋体"/>
        <family val="0"/>
      </rPr>
      <t>翼缘</t>
    </r>
    <r>
      <rPr>
        <sz val="10"/>
        <rFont val="Arial"/>
        <family val="2"/>
      </rPr>
      <t>(mm)</t>
    </r>
  </si>
  <si>
    <r>
      <rPr>
        <sz val="10"/>
        <rFont val="Arial"/>
        <family val="2"/>
      </rPr>
      <t>Area</t>
    </r>
    <r>
      <rPr>
        <sz val="10"/>
        <rFont val="Arial"/>
        <family val="2"/>
      </rPr>
      <t>(cm^2)</t>
    </r>
  </si>
  <si>
    <r>
      <rPr>
        <sz val="10"/>
        <rFont val="Arial"/>
        <family val="2"/>
      </rPr>
      <t>Weight</t>
    </r>
    <r>
      <rPr>
        <sz val="10"/>
        <rFont val="Arial"/>
        <family val="2"/>
      </rPr>
      <t>(Kg/m)</t>
    </r>
  </si>
  <si>
    <t>Anti-flex section modulus Wx=</t>
  </si>
  <si>
    <t>Tensile</t>
  </si>
  <si>
    <t>Minimum spacing</t>
  </si>
  <si>
    <t>Critical spacing</t>
  </si>
  <si>
    <t>Minimum margin</t>
  </si>
  <si>
    <t>Critical margin</t>
  </si>
  <si>
    <t>Hole depth</t>
  </si>
  <si>
    <t>(with galvanized screw)</t>
  </si>
  <si>
    <t>Adjustment coefficient of concrete to bearing capacity</t>
  </si>
  <si>
    <t>www.machinemfg.com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</si>
</sst>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_ "/>
    <numFmt numFmtId="185" formatCode="0_ "/>
    <numFmt numFmtId="186" formatCode="0.00_);[Red]\(0.00\)"/>
    <numFmt numFmtId="187" formatCode="0.0_ "/>
    <numFmt numFmtId="188" formatCode="0.0_);[Red]\(0.0\)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[$-409]dddd\,\ mmmm\ dd\,\ yyyy"/>
    <numFmt numFmtId="194" formatCode="00000"/>
    <numFmt numFmtId="195" formatCode="#,##0.00;[Red]#,##0.00"/>
    <numFmt numFmtId="196" formatCode="0.0000_ "/>
    <numFmt numFmtId="197" formatCode="0.000_ "/>
  </numFmts>
  <fonts count="65">
    <font>
      <sz val="10"/>
      <name val="Arial"/>
      <family val="2"/>
    </font>
    <font>
      <sz val="9"/>
      <name val="宋体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name val="MS Sans Serif"/>
      <family val="2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12"/>
      <name val="宋体"/>
      <family val="0"/>
    </font>
    <font>
      <b/>
      <sz val="10"/>
      <color indexed="10"/>
      <name val="Arial"/>
      <family val="2"/>
    </font>
    <font>
      <b/>
      <sz val="12"/>
      <color indexed="12"/>
      <name val="Arial"/>
      <family val="2"/>
    </font>
    <font>
      <b/>
      <sz val="11"/>
      <name val="Arial"/>
      <family val="2"/>
    </font>
    <font>
      <sz val="10"/>
      <color indexed="9"/>
      <name val="Arial"/>
      <family val="2"/>
    </font>
    <font>
      <sz val="10"/>
      <color indexed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2"/>
      <color indexed="12"/>
      <name val="Arial"/>
      <family val="2"/>
    </font>
    <font>
      <sz val="12"/>
      <color indexed="12"/>
      <name val="Arial"/>
      <family val="2"/>
    </font>
    <font>
      <b/>
      <i/>
      <sz val="12"/>
      <color indexed="8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24"/>
      <name val="Arial"/>
      <family val="2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color indexed="9"/>
      <name val="Arial"/>
      <family val="2"/>
    </font>
    <font>
      <sz val="9"/>
      <name val="Microsoft YaHei UI"/>
      <family val="2"/>
    </font>
    <font>
      <sz val="10"/>
      <color indexed="8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9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ck"/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7" fillId="0" borderId="0">
      <alignment vertical="center"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" applyNumberFormat="0" applyFill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52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53" fillId="21" borderId="0" applyNumberFormat="0" applyBorder="0" applyAlignment="0" applyProtection="0"/>
    <xf numFmtId="0" fontId="5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5" fillId="22" borderId="5" applyNumberFormat="0" applyAlignment="0" applyProtection="0"/>
    <xf numFmtId="0" fontId="56" fillId="23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0" fillId="24" borderId="0" applyNumberFormat="0" applyBorder="0" applyAlignment="0" applyProtection="0"/>
    <xf numFmtId="0" fontId="61" fillId="22" borderId="8" applyNumberFormat="0" applyAlignment="0" applyProtection="0"/>
    <xf numFmtId="0" fontId="62" fillId="25" borderId="5" applyNumberFormat="0" applyAlignment="0" applyProtection="0"/>
    <xf numFmtId="0" fontId="5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0" fillId="32" borderId="9" applyNumberFormat="0" applyFont="0" applyAlignment="0" applyProtection="0"/>
  </cellStyleXfs>
  <cellXfs count="41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center"/>
    </xf>
    <xf numFmtId="184" fontId="2" fillId="33" borderId="11" xfId="0" applyNumberFormat="1" applyFont="1" applyFill="1" applyBorder="1" applyAlignment="1">
      <alignment horizontal="center"/>
    </xf>
    <xf numFmtId="186" fontId="2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185" fontId="2" fillId="0" borderId="0" xfId="0" applyNumberFormat="1" applyFont="1" applyFill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2" xfId="0" applyFont="1" applyFill="1" applyBorder="1" applyAlignment="1">
      <alignment/>
    </xf>
    <xf numFmtId="0" fontId="8" fillId="33" borderId="11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" fillId="0" borderId="14" xfId="0" applyFont="1" applyFill="1" applyBorder="1" applyAlignment="1">
      <alignment horizontal="right"/>
    </xf>
    <xf numFmtId="184" fontId="2" fillId="0" borderId="15" xfId="0" applyNumberFormat="1" applyFont="1" applyFill="1" applyBorder="1" applyAlignment="1">
      <alignment horizontal="right"/>
    </xf>
    <xf numFmtId="184" fontId="2" fillId="0" borderId="16" xfId="0" applyNumberFormat="1" applyFont="1" applyFill="1" applyBorder="1" applyAlignment="1">
      <alignment horizontal="right"/>
    </xf>
    <xf numFmtId="0" fontId="8" fillId="33" borderId="17" xfId="0" applyFont="1" applyFill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184" fontId="2" fillId="0" borderId="11" xfId="0" applyNumberFormat="1" applyFont="1" applyFill="1" applyBorder="1" applyAlignment="1">
      <alignment horizontal="center"/>
    </xf>
    <xf numFmtId="0" fontId="11" fillId="0" borderId="0" xfId="0" applyFont="1" applyBorder="1" applyAlignment="1" applyProtection="1">
      <alignment/>
      <protection locked="0"/>
    </xf>
    <xf numFmtId="0" fontId="2" fillId="0" borderId="10" xfId="0" applyFont="1" applyBorder="1" applyAlignment="1">
      <alignment/>
    </xf>
    <xf numFmtId="0" fontId="9" fillId="34" borderId="17" xfId="0" applyFont="1" applyFill="1" applyBorder="1" applyAlignment="1" applyProtection="1">
      <alignment horizontal="center"/>
      <protection locked="0"/>
    </xf>
    <xf numFmtId="0" fontId="9" fillId="34" borderId="11" xfId="0" applyFont="1" applyFill="1" applyBorder="1" applyAlignment="1" applyProtection="1">
      <alignment horizontal="center"/>
      <protection locked="0"/>
    </xf>
    <xf numFmtId="0" fontId="9" fillId="34" borderId="13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/>
      <protection locked="0"/>
    </xf>
    <xf numFmtId="184" fontId="3" fillId="33" borderId="11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 horizontal="right"/>
    </xf>
    <xf numFmtId="185" fontId="3" fillId="33" borderId="13" xfId="0" applyNumberFormat="1" applyFont="1" applyFill="1" applyBorder="1" applyAlignment="1">
      <alignment horizontal="center"/>
    </xf>
    <xf numFmtId="0" fontId="11" fillId="0" borderId="0" xfId="0" applyFont="1" applyAlignment="1" applyProtection="1">
      <alignment/>
      <protection locked="0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184" fontId="2" fillId="0" borderId="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84" fontId="2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 applyProtection="1">
      <alignment horizontal="center"/>
      <protection locked="0"/>
    </xf>
    <xf numFmtId="184" fontId="3" fillId="0" borderId="0" xfId="0" applyNumberFormat="1" applyFont="1" applyFill="1" applyBorder="1" applyAlignment="1">
      <alignment horizontal="center"/>
    </xf>
    <xf numFmtId="185" fontId="3" fillId="0" borderId="0" xfId="0" applyNumberFormat="1" applyFont="1" applyFill="1" applyBorder="1" applyAlignment="1">
      <alignment horizontal="center"/>
    </xf>
    <xf numFmtId="0" fontId="14" fillId="33" borderId="11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5" fillId="0" borderId="11" xfId="0" applyFont="1" applyBorder="1" applyAlignment="1">
      <alignment horizontal="right"/>
    </xf>
    <xf numFmtId="0" fontId="15" fillId="0" borderId="11" xfId="0" applyFont="1" applyFill="1" applyBorder="1" applyAlignment="1">
      <alignment horizontal="right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5" fillId="0" borderId="21" xfId="0" applyFont="1" applyFill="1" applyBorder="1" applyAlignment="1">
      <alignment horizontal="right"/>
    </xf>
    <xf numFmtId="0" fontId="13" fillId="0" borderId="22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19" fillId="0" borderId="11" xfId="0" applyFont="1" applyBorder="1" applyAlignment="1">
      <alignment horizontal="right"/>
    </xf>
    <xf numFmtId="0" fontId="20" fillId="0" borderId="11" xfId="0" applyFont="1" applyBorder="1" applyAlignment="1">
      <alignment horizontal="right"/>
    </xf>
    <xf numFmtId="184" fontId="13" fillId="33" borderId="11" xfId="0" applyNumberFormat="1" applyFont="1" applyFill="1" applyBorder="1" applyAlignment="1">
      <alignment horizontal="center"/>
    </xf>
    <xf numFmtId="0" fontId="11" fillId="0" borderId="0" xfId="0" applyFont="1" applyAlignment="1" applyProtection="1">
      <alignment horizontal="center"/>
      <protection locked="0"/>
    </xf>
    <xf numFmtId="0" fontId="11" fillId="0" borderId="11" xfId="0" applyFont="1" applyBorder="1" applyAlignment="1" applyProtection="1">
      <alignment/>
      <protection locked="0"/>
    </xf>
    <xf numFmtId="0" fontId="13" fillId="34" borderId="11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/>
    </xf>
    <xf numFmtId="184" fontId="13" fillId="33" borderId="11" xfId="0" applyNumberFormat="1" applyFont="1" applyFill="1" applyBorder="1" applyAlignment="1" applyProtection="1">
      <alignment horizontal="center"/>
      <protection/>
    </xf>
    <xf numFmtId="0" fontId="2" fillId="0" borderId="11" xfId="0" applyFont="1" applyBorder="1" applyAlignment="1">
      <alignment horizontal="left"/>
    </xf>
    <xf numFmtId="0" fontId="11" fillId="0" borderId="0" xfId="0" applyFont="1" applyAlignment="1" applyProtection="1">
      <alignment horizontal="right"/>
      <protection locked="0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2" fillId="33" borderId="23" xfId="0" applyFont="1" applyFill="1" applyBorder="1" applyAlignment="1">
      <alignment horizontal="center"/>
    </xf>
    <xf numFmtId="0" fontId="13" fillId="0" borderId="0" xfId="0" applyFont="1" applyAlignment="1">
      <alignment horizontal="right"/>
    </xf>
    <xf numFmtId="0" fontId="13" fillId="0" borderId="22" xfId="0" applyFont="1" applyBorder="1" applyAlignment="1">
      <alignment horizontal="center"/>
    </xf>
    <xf numFmtId="195" fontId="14" fillId="33" borderId="11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2" fillId="33" borderId="22" xfId="0" applyFont="1" applyFill="1" applyBorder="1" applyAlignment="1">
      <alignment horizontal="center"/>
    </xf>
    <xf numFmtId="0" fontId="21" fillId="0" borderId="11" xfId="0" applyFont="1" applyBorder="1" applyAlignment="1">
      <alignment horizontal="left"/>
    </xf>
    <xf numFmtId="0" fontId="21" fillId="0" borderId="11" xfId="0" applyFont="1" applyBorder="1" applyAlignment="1">
      <alignment horizontal="center"/>
    </xf>
    <xf numFmtId="0" fontId="21" fillId="0" borderId="11" xfId="0" applyFont="1" applyBorder="1" applyAlignment="1">
      <alignment horizontal="right"/>
    </xf>
    <xf numFmtId="0" fontId="21" fillId="0" borderId="24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0" fontId="21" fillId="0" borderId="21" xfId="0" applyFont="1" applyBorder="1" applyAlignment="1">
      <alignment horizontal="right"/>
    </xf>
    <xf numFmtId="0" fontId="21" fillId="0" borderId="22" xfId="0" applyFont="1" applyBorder="1" applyAlignment="1">
      <alignment horizontal="center"/>
    </xf>
    <xf numFmtId="0" fontId="21" fillId="0" borderId="27" xfId="0" applyFont="1" applyBorder="1" applyAlignment="1">
      <alignment horizontal="center"/>
    </xf>
    <xf numFmtId="0" fontId="21" fillId="0" borderId="0" xfId="0" applyFont="1" applyAlignment="1">
      <alignment/>
    </xf>
    <xf numFmtId="0" fontId="14" fillId="33" borderId="28" xfId="0" applyFont="1" applyFill="1" applyBorder="1" applyAlignment="1">
      <alignment horizontal="center"/>
    </xf>
    <xf numFmtId="184" fontId="2" fillId="33" borderId="29" xfId="0" applyNumberFormat="1" applyFont="1" applyFill="1" applyBorder="1" applyAlignment="1">
      <alignment horizontal="center"/>
    </xf>
    <xf numFmtId="0" fontId="14" fillId="0" borderId="30" xfId="0" applyFont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right"/>
    </xf>
    <xf numFmtId="0" fontId="13" fillId="34" borderId="23" xfId="0" applyFont="1" applyFill="1" applyBorder="1" applyAlignment="1" applyProtection="1">
      <alignment horizontal="center"/>
      <protection locked="0"/>
    </xf>
    <xf numFmtId="0" fontId="14" fillId="34" borderId="11" xfId="0" applyFont="1" applyFill="1" applyBorder="1" applyAlignment="1" applyProtection="1">
      <alignment horizontal="center"/>
      <protection locked="0"/>
    </xf>
    <xf numFmtId="0" fontId="14" fillId="34" borderId="23" xfId="0" applyFont="1" applyFill="1" applyBorder="1" applyAlignment="1" applyProtection="1">
      <alignment horizontal="center"/>
      <protection locked="0"/>
    </xf>
    <xf numFmtId="0" fontId="13" fillId="34" borderId="26" xfId="0" applyFont="1" applyFill="1" applyBorder="1" applyAlignment="1" applyProtection="1">
      <alignment horizontal="center"/>
      <protection locked="0"/>
    </xf>
    <xf numFmtId="0" fontId="13" fillId="34" borderId="24" xfId="0" applyFont="1" applyFill="1" applyBorder="1" applyAlignment="1" applyProtection="1">
      <alignment horizontal="center"/>
      <protection locked="0"/>
    </xf>
    <xf numFmtId="0" fontId="11" fillId="0" borderId="0" xfId="0" applyFont="1" applyBorder="1" applyAlignment="1">
      <alignment/>
    </xf>
    <xf numFmtId="195" fontId="14" fillId="0" borderId="31" xfId="0" applyNumberFormat="1" applyFont="1" applyFill="1" applyBorder="1" applyAlignment="1">
      <alignment horizontal="center"/>
    </xf>
    <xf numFmtId="184" fontId="14" fillId="33" borderId="11" xfId="0" applyNumberFormat="1" applyFont="1" applyFill="1" applyBorder="1" applyAlignment="1">
      <alignment horizontal="center"/>
    </xf>
    <xf numFmtId="0" fontId="13" fillId="33" borderId="22" xfId="0" applyFont="1" applyFill="1" applyBorder="1" applyAlignment="1">
      <alignment horizontal="right"/>
    </xf>
    <xf numFmtId="184" fontId="2" fillId="33" borderId="28" xfId="0" applyNumberFormat="1" applyFont="1" applyFill="1" applyBorder="1" applyAlignment="1">
      <alignment horizontal="center"/>
    </xf>
    <xf numFmtId="0" fontId="13" fillId="0" borderId="32" xfId="0" applyFont="1" applyFill="1" applyBorder="1" applyAlignment="1">
      <alignment horizontal="right"/>
    </xf>
    <xf numFmtId="0" fontId="13" fillId="0" borderId="33" xfId="0" applyFont="1" applyBorder="1" applyAlignment="1">
      <alignment/>
    </xf>
    <xf numFmtId="197" fontId="13" fillId="33" borderId="23" xfId="0" applyNumberFormat="1" applyFont="1" applyFill="1" applyBorder="1" applyAlignment="1">
      <alignment horizontal="center"/>
    </xf>
    <xf numFmtId="0" fontId="2" fillId="0" borderId="34" xfId="0" applyFont="1" applyFill="1" applyBorder="1" applyAlignment="1">
      <alignment horizontal="left"/>
    </xf>
    <xf numFmtId="197" fontId="14" fillId="33" borderId="33" xfId="0" applyNumberFormat="1" applyFont="1" applyFill="1" applyBorder="1" applyAlignment="1">
      <alignment horizontal="center"/>
    </xf>
    <xf numFmtId="0" fontId="14" fillId="0" borderId="35" xfId="0" applyFont="1" applyFill="1" applyBorder="1" applyAlignment="1">
      <alignment horizontal="right"/>
    </xf>
    <xf numFmtId="0" fontId="13" fillId="0" borderId="11" xfId="0" applyFont="1" applyBorder="1" applyAlignment="1">
      <alignment/>
    </xf>
    <xf numFmtId="0" fontId="13" fillId="0" borderId="11" xfId="0" applyFont="1" applyFill="1" applyBorder="1" applyAlignment="1">
      <alignment/>
    </xf>
    <xf numFmtId="0" fontId="13" fillId="0" borderId="23" xfId="0" applyFont="1" applyFill="1" applyBorder="1" applyAlignment="1">
      <alignment/>
    </xf>
    <xf numFmtId="0" fontId="13" fillId="0" borderId="21" xfId="0" applyFont="1" applyBorder="1" applyAlignment="1">
      <alignment/>
    </xf>
    <xf numFmtId="0" fontId="13" fillId="0" borderId="22" xfId="0" applyFont="1" applyBorder="1" applyAlignment="1">
      <alignment/>
    </xf>
    <xf numFmtId="0" fontId="20" fillId="0" borderId="22" xfId="0" applyFont="1" applyFill="1" applyBorder="1" applyAlignment="1">
      <alignment horizontal="right"/>
    </xf>
    <xf numFmtId="184" fontId="20" fillId="0" borderId="22" xfId="0" applyNumberFormat="1" applyFont="1" applyFill="1" applyBorder="1" applyAlignment="1">
      <alignment horizontal="center"/>
    </xf>
    <xf numFmtId="0" fontId="20" fillId="0" borderId="36" xfId="0" applyFont="1" applyBorder="1" applyAlignment="1">
      <alignment/>
    </xf>
    <xf numFmtId="197" fontId="13" fillId="33" borderId="11" xfId="0" applyNumberFormat="1" applyFont="1" applyFill="1" applyBorder="1" applyAlignment="1">
      <alignment horizontal="center"/>
    </xf>
    <xf numFmtId="0" fontId="22" fillId="0" borderId="27" xfId="0" applyFont="1" applyFill="1" applyBorder="1" applyAlignment="1">
      <alignment horizontal="right"/>
    </xf>
    <xf numFmtId="0" fontId="20" fillId="0" borderId="37" xfId="0" applyFont="1" applyBorder="1" applyAlignment="1">
      <alignment horizontal="right"/>
    </xf>
    <xf numFmtId="0" fontId="20" fillId="0" borderId="38" xfId="0" applyFont="1" applyBorder="1" applyAlignment="1">
      <alignment horizontal="right"/>
    </xf>
    <xf numFmtId="0" fontId="20" fillId="0" borderId="34" xfId="0" applyFont="1" applyBorder="1" applyAlignment="1">
      <alignment horizontal="left"/>
    </xf>
    <xf numFmtId="197" fontId="13" fillId="34" borderId="23" xfId="0" applyNumberFormat="1" applyFont="1" applyFill="1" applyBorder="1" applyAlignment="1" applyProtection="1">
      <alignment horizontal="center"/>
      <protection locked="0"/>
    </xf>
    <xf numFmtId="0" fontId="22" fillId="0" borderId="39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184" fontId="11" fillId="0" borderId="0" xfId="0" applyNumberFormat="1" applyFont="1" applyFill="1" applyBorder="1" applyAlignment="1">
      <alignment/>
    </xf>
    <xf numFmtId="0" fontId="22" fillId="0" borderId="40" xfId="0" applyFont="1" applyBorder="1" applyAlignment="1">
      <alignment horizontal="right"/>
    </xf>
    <xf numFmtId="0" fontId="2" fillId="0" borderId="32" xfId="0" applyFont="1" applyBorder="1" applyAlignment="1">
      <alignment horizontal="right"/>
    </xf>
    <xf numFmtId="0" fontId="11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right"/>
    </xf>
    <xf numFmtId="0" fontId="22" fillId="0" borderId="27" xfId="0" applyFont="1" applyBorder="1" applyAlignment="1">
      <alignment horizontal="right"/>
    </xf>
    <xf numFmtId="0" fontId="2" fillId="0" borderId="35" xfId="0" applyFont="1" applyBorder="1" applyAlignment="1">
      <alignment horizontal="right"/>
    </xf>
    <xf numFmtId="0" fontId="22" fillId="0" borderId="35" xfId="0" applyFont="1" applyBorder="1" applyAlignment="1">
      <alignment horizontal="right"/>
    </xf>
    <xf numFmtId="0" fontId="2" fillId="33" borderId="29" xfId="0" applyFont="1" applyFill="1" applyBorder="1" applyAlignment="1">
      <alignment/>
    </xf>
    <xf numFmtId="0" fontId="2" fillId="0" borderId="0" xfId="0" applyFont="1" applyFill="1" applyBorder="1" applyAlignment="1">
      <alignment vertical="center" textRotation="90"/>
    </xf>
    <xf numFmtId="0" fontId="2" fillId="33" borderId="23" xfId="0" applyFont="1" applyFill="1" applyBorder="1" applyAlignment="1">
      <alignment/>
    </xf>
    <xf numFmtId="0" fontId="14" fillId="33" borderId="34" xfId="0" applyFont="1" applyFill="1" applyBorder="1" applyAlignment="1">
      <alignment horizontal="center"/>
    </xf>
    <xf numFmtId="0" fontId="13" fillId="0" borderId="32" xfId="0" applyFont="1" applyBorder="1" applyAlignment="1">
      <alignment horizontal="right"/>
    </xf>
    <xf numFmtId="0" fontId="13" fillId="0" borderId="40" xfId="0" applyFont="1" applyBorder="1" applyAlignment="1">
      <alignment horizontal="right"/>
    </xf>
    <xf numFmtId="0" fontId="22" fillId="0" borderId="40" xfId="0" applyFont="1" applyFill="1" applyBorder="1" applyAlignment="1">
      <alignment horizontal="right"/>
    </xf>
    <xf numFmtId="0" fontId="2" fillId="33" borderId="43" xfId="0" applyFont="1" applyFill="1" applyBorder="1" applyAlignment="1">
      <alignment horizontal="left"/>
    </xf>
    <xf numFmtId="184" fontId="2" fillId="33" borderId="23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33" borderId="43" xfId="0" applyFont="1" applyFill="1" applyBorder="1" applyAlignment="1">
      <alignment/>
    </xf>
    <xf numFmtId="0" fontId="0" fillId="0" borderId="28" xfId="0" applyFont="1" applyBorder="1" applyAlignment="1">
      <alignment/>
    </xf>
    <xf numFmtId="0" fontId="0" fillId="0" borderId="44" xfId="0" applyFont="1" applyBorder="1" applyAlignment="1">
      <alignment/>
    </xf>
    <xf numFmtId="0" fontId="20" fillId="33" borderId="43" xfId="0" applyFont="1" applyFill="1" applyBorder="1" applyAlignment="1">
      <alignment/>
    </xf>
    <xf numFmtId="0" fontId="0" fillId="0" borderId="45" xfId="0" applyFont="1" applyBorder="1" applyAlignment="1">
      <alignment/>
    </xf>
    <xf numFmtId="0" fontId="0" fillId="0" borderId="41" xfId="0" applyFont="1" applyBorder="1" applyAlignment="1">
      <alignment horizontal="right"/>
    </xf>
    <xf numFmtId="0" fontId="0" fillId="0" borderId="29" xfId="0" applyFont="1" applyBorder="1" applyAlignment="1">
      <alignment/>
    </xf>
    <xf numFmtId="0" fontId="0" fillId="0" borderId="46" xfId="0" applyFont="1" applyBorder="1" applyAlignment="1">
      <alignment/>
    </xf>
    <xf numFmtId="0" fontId="0" fillId="33" borderId="39" xfId="0" applyFont="1" applyFill="1" applyBorder="1" applyAlignment="1">
      <alignment/>
    </xf>
    <xf numFmtId="0" fontId="0" fillId="0" borderId="22" xfId="0" applyFont="1" applyBorder="1" applyAlignment="1">
      <alignment/>
    </xf>
    <xf numFmtId="0" fontId="0" fillId="0" borderId="47" xfId="0" applyFont="1" applyBorder="1" applyAlignment="1">
      <alignment/>
    </xf>
    <xf numFmtId="0" fontId="0" fillId="33" borderId="40" xfId="0" applyFont="1" applyFill="1" applyBorder="1" applyAlignment="1">
      <alignment/>
    </xf>
    <xf numFmtId="0" fontId="0" fillId="0" borderId="21" xfId="0" applyFont="1" applyBorder="1" applyAlignment="1">
      <alignment/>
    </xf>
    <xf numFmtId="0" fontId="0" fillId="0" borderId="40" xfId="0" applyFont="1" applyBorder="1" applyAlignment="1">
      <alignment horizontal="right"/>
    </xf>
    <xf numFmtId="0" fontId="0" fillId="0" borderId="34" xfId="0" applyFont="1" applyBorder="1" applyAlignment="1">
      <alignment/>
    </xf>
    <xf numFmtId="0" fontId="0" fillId="0" borderId="40" xfId="0" applyFont="1" applyFill="1" applyBorder="1" applyAlignment="1">
      <alignment horizontal="right"/>
    </xf>
    <xf numFmtId="0" fontId="0" fillId="0" borderId="32" xfId="0" applyFont="1" applyBorder="1" applyAlignment="1">
      <alignment horizontal="right"/>
    </xf>
    <xf numFmtId="0" fontId="0" fillId="0" borderId="33" xfId="0" applyFont="1" applyBorder="1" applyAlignment="1">
      <alignment/>
    </xf>
    <xf numFmtId="0" fontId="0" fillId="0" borderId="42" xfId="0" applyFont="1" applyFill="1" applyBorder="1" applyAlignment="1">
      <alignment/>
    </xf>
    <xf numFmtId="0" fontId="0" fillId="0" borderId="32" xfId="0" applyFont="1" applyFill="1" applyBorder="1" applyAlignment="1">
      <alignment horizontal="right"/>
    </xf>
    <xf numFmtId="0" fontId="2" fillId="33" borderId="43" xfId="0" applyFont="1" applyFill="1" applyBorder="1" applyAlignment="1">
      <alignment/>
    </xf>
    <xf numFmtId="0" fontId="0" fillId="0" borderId="29" xfId="0" applyFont="1" applyBorder="1" applyAlignment="1">
      <alignment horizontal="right"/>
    </xf>
    <xf numFmtId="0" fontId="0" fillId="0" borderId="11" xfId="0" applyFont="1" applyBorder="1" applyAlignment="1">
      <alignment/>
    </xf>
    <xf numFmtId="0" fontId="0" fillId="0" borderId="24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48" xfId="0" applyFont="1" applyBorder="1" applyAlignment="1">
      <alignment horizontal="right"/>
    </xf>
    <xf numFmtId="0" fontId="0" fillId="0" borderId="37" xfId="0" applyFont="1" applyBorder="1" applyAlignment="1">
      <alignment/>
    </xf>
    <xf numFmtId="0" fontId="0" fillId="0" borderId="25" xfId="0" applyFont="1" applyBorder="1" applyAlignment="1">
      <alignment horizontal="right"/>
    </xf>
    <xf numFmtId="0" fontId="0" fillId="0" borderId="49" xfId="0" applyFont="1" applyBorder="1" applyAlignment="1">
      <alignment horizontal="right"/>
    </xf>
    <xf numFmtId="0" fontId="0" fillId="0" borderId="42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51" xfId="0" applyFont="1" applyBorder="1" applyAlignment="1">
      <alignment/>
    </xf>
    <xf numFmtId="0" fontId="0" fillId="0" borderId="43" xfId="0" applyFont="1" applyBorder="1" applyAlignment="1">
      <alignment horizontal="right"/>
    </xf>
    <xf numFmtId="0" fontId="0" fillId="0" borderId="5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53" xfId="0" applyFont="1" applyBorder="1" applyAlignment="1">
      <alignment/>
    </xf>
    <xf numFmtId="0" fontId="0" fillId="0" borderId="54" xfId="0" applyFont="1" applyBorder="1" applyAlignment="1">
      <alignment horizontal="right"/>
    </xf>
    <xf numFmtId="0" fontId="0" fillId="0" borderId="54" xfId="0" applyFont="1" applyBorder="1" applyAlignment="1">
      <alignment/>
    </xf>
    <xf numFmtId="0" fontId="0" fillId="0" borderId="55" xfId="0" applyFont="1" applyBorder="1" applyAlignment="1">
      <alignment/>
    </xf>
    <xf numFmtId="0" fontId="0" fillId="0" borderId="56" xfId="0" applyFont="1" applyBorder="1" applyAlignment="1">
      <alignment/>
    </xf>
    <xf numFmtId="0" fontId="0" fillId="0" borderId="57" xfId="0" applyFont="1" applyBorder="1" applyAlignment="1">
      <alignment/>
    </xf>
    <xf numFmtId="0" fontId="0" fillId="0" borderId="23" xfId="0" applyFont="1" applyBorder="1" applyAlignment="1">
      <alignment horizontal="right"/>
    </xf>
    <xf numFmtId="0" fontId="0" fillId="0" borderId="58" xfId="0" applyFont="1" applyBorder="1" applyAlignment="1">
      <alignment horizontal="right"/>
    </xf>
    <xf numFmtId="0" fontId="0" fillId="33" borderId="11" xfId="0" applyFont="1" applyFill="1" applyBorder="1" applyAlignment="1">
      <alignment horizontal="center"/>
    </xf>
    <xf numFmtId="0" fontId="0" fillId="0" borderId="52" xfId="0" applyFont="1" applyBorder="1" applyAlignment="1">
      <alignment horizontal="right"/>
    </xf>
    <xf numFmtId="184" fontId="0" fillId="33" borderId="23" xfId="0" applyNumberFormat="1" applyFont="1" applyFill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48" xfId="0" applyFont="1" applyFill="1" applyBorder="1" applyAlignment="1">
      <alignment horizontal="right"/>
    </xf>
    <xf numFmtId="0" fontId="0" fillId="33" borderId="26" xfId="0" applyFont="1" applyFill="1" applyBorder="1" applyAlignment="1">
      <alignment horizontal="center"/>
    </xf>
    <xf numFmtId="0" fontId="0" fillId="0" borderId="26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21" xfId="0" applyFont="1" applyBorder="1" applyAlignment="1">
      <alignment horizontal="right"/>
    </xf>
    <xf numFmtId="0" fontId="0" fillId="0" borderId="27" xfId="0" applyFont="1" applyBorder="1" applyAlignment="1">
      <alignment horizontal="right"/>
    </xf>
    <xf numFmtId="184" fontId="0" fillId="33" borderId="11" xfId="0" applyNumberFormat="1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185" fontId="0" fillId="33" borderId="23" xfId="0" applyNumberFormat="1" applyFont="1" applyFill="1" applyBorder="1" applyAlignment="1">
      <alignment horizontal="center"/>
    </xf>
    <xf numFmtId="0" fontId="0" fillId="0" borderId="23" xfId="0" applyFont="1" applyFill="1" applyBorder="1" applyAlignment="1">
      <alignment/>
    </xf>
    <xf numFmtId="0" fontId="0" fillId="33" borderId="39" xfId="0" applyFont="1" applyFill="1" applyBorder="1" applyAlignment="1">
      <alignment/>
    </xf>
    <xf numFmtId="0" fontId="0" fillId="0" borderId="40" xfId="0" applyFont="1" applyBorder="1" applyAlignment="1">
      <alignment horizontal="right"/>
    </xf>
    <xf numFmtId="0" fontId="0" fillId="0" borderId="32" xfId="0" applyFont="1" applyBorder="1" applyAlignment="1">
      <alignment horizontal="right"/>
    </xf>
    <xf numFmtId="0" fontId="0" fillId="33" borderId="43" xfId="0" applyFont="1" applyFill="1" applyBorder="1" applyAlignment="1">
      <alignment/>
    </xf>
    <xf numFmtId="0" fontId="0" fillId="33" borderId="40" xfId="0" applyFont="1" applyFill="1" applyBorder="1" applyAlignment="1">
      <alignment/>
    </xf>
    <xf numFmtId="0" fontId="2" fillId="33" borderId="43" xfId="0" applyFont="1" applyFill="1" applyBorder="1" applyAlignment="1">
      <alignment/>
    </xf>
    <xf numFmtId="0" fontId="2" fillId="0" borderId="41" xfId="0" applyFont="1" applyBorder="1" applyAlignment="1">
      <alignment/>
    </xf>
    <xf numFmtId="0" fontId="2" fillId="33" borderId="43" xfId="0" applyFont="1" applyFill="1" applyBorder="1" applyAlignment="1">
      <alignment horizontal="left"/>
    </xf>
    <xf numFmtId="0" fontId="0" fillId="0" borderId="56" xfId="0" applyFont="1" applyBorder="1" applyAlignment="1">
      <alignment horizontal="right"/>
    </xf>
    <xf numFmtId="0" fontId="21" fillId="0" borderId="11" xfId="0" applyFont="1" applyBorder="1" applyAlignment="1">
      <alignment horizontal="center"/>
    </xf>
    <xf numFmtId="0" fontId="0" fillId="33" borderId="58" xfId="0" applyFont="1" applyFill="1" applyBorder="1" applyAlignment="1">
      <alignment/>
    </xf>
    <xf numFmtId="0" fontId="0" fillId="0" borderId="58" xfId="0" applyFont="1" applyBorder="1" applyAlignment="1">
      <alignment/>
    </xf>
    <xf numFmtId="0" fontId="0" fillId="0" borderId="58" xfId="0" applyFont="1" applyFill="1" applyBorder="1" applyAlignment="1">
      <alignment/>
    </xf>
    <xf numFmtId="0" fontId="0" fillId="0" borderId="59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60" xfId="0" applyFont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 horizontal="left"/>
    </xf>
    <xf numFmtId="0" fontId="0" fillId="0" borderId="61" xfId="0" applyFont="1" applyBorder="1" applyAlignment="1">
      <alignment/>
    </xf>
    <xf numFmtId="0" fontId="0" fillId="0" borderId="54" xfId="0" applyFont="1" applyFill="1" applyBorder="1" applyAlignment="1">
      <alignment horizontal="right"/>
    </xf>
    <xf numFmtId="0" fontId="0" fillId="0" borderId="5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45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46" xfId="0" applyFont="1" applyFill="1" applyBorder="1" applyAlignment="1">
      <alignment horizontal="right"/>
    </xf>
    <xf numFmtId="0" fontId="0" fillId="0" borderId="43" xfId="0" applyFont="1" applyFill="1" applyBorder="1" applyAlignment="1">
      <alignment horizontal="right"/>
    </xf>
    <xf numFmtId="0" fontId="0" fillId="0" borderId="28" xfId="0" applyFont="1" applyFill="1" applyBorder="1" applyAlignment="1">
      <alignment/>
    </xf>
    <xf numFmtId="0" fontId="0" fillId="0" borderId="62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34" xfId="0" applyFont="1" applyFill="1" applyBorder="1" applyAlignment="1">
      <alignment horizontal="left"/>
    </xf>
    <xf numFmtId="0" fontId="0" fillId="0" borderId="49" xfId="0" applyFont="1" applyFill="1" applyBorder="1" applyAlignment="1">
      <alignment horizontal="right"/>
    </xf>
    <xf numFmtId="0" fontId="0" fillId="0" borderId="63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51" xfId="0" applyFont="1" applyFill="1" applyBorder="1" applyAlignment="1">
      <alignment/>
    </xf>
    <xf numFmtId="0" fontId="0" fillId="0" borderId="56" xfId="0" applyFont="1" applyFill="1" applyBorder="1" applyAlignment="1">
      <alignment horizontal="right"/>
    </xf>
    <xf numFmtId="0" fontId="0" fillId="0" borderId="64" xfId="0" applyFont="1" applyBorder="1" applyAlignment="1">
      <alignment/>
    </xf>
    <xf numFmtId="0" fontId="0" fillId="0" borderId="65" xfId="0" applyFont="1" applyFill="1" applyBorder="1" applyAlignment="1">
      <alignment/>
    </xf>
    <xf numFmtId="0" fontId="0" fillId="0" borderId="47" xfId="0" applyFont="1" applyFill="1" applyBorder="1" applyAlignment="1">
      <alignment/>
    </xf>
    <xf numFmtId="184" fontId="0" fillId="0" borderId="11" xfId="0" applyNumberFormat="1" applyFont="1" applyFill="1" applyBorder="1" applyAlignment="1">
      <alignment horizontal="center"/>
    </xf>
    <xf numFmtId="0" fontId="0" fillId="0" borderId="38" xfId="0" applyFont="1" applyFill="1" applyBorder="1" applyAlignment="1">
      <alignment horizontal="right"/>
    </xf>
    <xf numFmtId="197" fontId="0" fillId="0" borderId="11" xfId="0" applyNumberFormat="1" applyFont="1" applyBorder="1" applyAlignment="1">
      <alignment horizontal="center"/>
    </xf>
    <xf numFmtId="0" fontId="0" fillId="0" borderId="57" xfId="0" applyFont="1" applyFill="1" applyBorder="1" applyAlignment="1">
      <alignment horizontal="right"/>
    </xf>
    <xf numFmtId="0" fontId="0" fillId="0" borderId="23" xfId="0" applyFont="1" applyFill="1" applyBorder="1" applyAlignment="1">
      <alignment horizontal="right"/>
    </xf>
    <xf numFmtId="0" fontId="0" fillId="0" borderId="66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0" fillId="0" borderId="29" xfId="0" applyFont="1" applyFill="1" applyBorder="1" applyAlignment="1">
      <alignment horizontal="right"/>
    </xf>
    <xf numFmtId="0" fontId="0" fillId="0" borderId="29" xfId="0" applyFont="1" applyFill="1" applyBorder="1" applyAlignment="1">
      <alignment horizontal="center"/>
    </xf>
    <xf numFmtId="0" fontId="0" fillId="0" borderId="46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66" xfId="0" applyFont="1" applyBorder="1" applyAlignment="1">
      <alignment horizontal="right"/>
    </xf>
    <xf numFmtId="0" fontId="0" fillId="0" borderId="11" xfId="0" applyFont="1" applyBorder="1" applyAlignment="1">
      <alignment horizontal="left"/>
    </xf>
    <xf numFmtId="0" fontId="0" fillId="0" borderId="21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0" fillId="33" borderId="67" xfId="0" applyFont="1" applyFill="1" applyBorder="1" applyAlignment="1">
      <alignment/>
    </xf>
    <xf numFmtId="0" fontId="0" fillId="0" borderId="68" xfId="0" applyFont="1" applyFill="1" applyBorder="1" applyAlignment="1">
      <alignment/>
    </xf>
    <xf numFmtId="0" fontId="63" fillId="0" borderId="0" xfId="0" applyFont="1" applyAlignment="1">
      <alignment/>
    </xf>
    <xf numFmtId="0" fontId="63" fillId="0" borderId="0" xfId="0" applyFont="1" applyFill="1" applyBorder="1" applyAlignment="1">
      <alignment/>
    </xf>
    <xf numFmtId="0" fontId="63" fillId="0" borderId="0" xfId="0" applyFont="1" applyFill="1" applyBorder="1" applyAlignment="1">
      <alignment/>
    </xf>
    <xf numFmtId="0" fontId="63" fillId="0" borderId="0" xfId="0" applyFont="1" applyFill="1" applyBorder="1" applyAlignment="1">
      <alignment horizontal="center"/>
    </xf>
    <xf numFmtId="196" fontId="63" fillId="0" borderId="0" xfId="0" applyNumberFormat="1" applyFont="1" applyFill="1" applyBorder="1" applyAlignment="1">
      <alignment/>
    </xf>
    <xf numFmtId="0" fontId="0" fillId="33" borderId="68" xfId="0" applyFont="1" applyFill="1" applyBorder="1" applyAlignment="1">
      <alignment/>
    </xf>
    <xf numFmtId="0" fontId="0" fillId="0" borderId="69" xfId="0" applyFont="1" applyBorder="1" applyAlignment="1">
      <alignment/>
    </xf>
    <xf numFmtId="0" fontId="0" fillId="0" borderId="70" xfId="0" applyFont="1" applyBorder="1" applyAlignment="1">
      <alignment/>
    </xf>
    <xf numFmtId="0" fontId="0" fillId="33" borderId="28" xfId="0" applyFont="1" applyFill="1" applyBorder="1" applyAlignment="1">
      <alignment/>
    </xf>
    <xf numFmtId="0" fontId="0" fillId="33" borderId="45" xfId="0" applyFont="1" applyFill="1" applyBorder="1" applyAlignment="1">
      <alignment/>
    </xf>
    <xf numFmtId="0" fontId="0" fillId="0" borderId="63" xfId="0" applyFont="1" applyBorder="1" applyAlignment="1">
      <alignment/>
    </xf>
    <xf numFmtId="0" fontId="0" fillId="0" borderId="33" xfId="0" applyFont="1" applyFill="1" applyBorder="1" applyAlignment="1">
      <alignment/>
    </xf>
    <xf numFmtId="0" fontId="11" fillId="0" borderId="0" xfId="0" applyFont="1" applyFill="1" applyBorder="1" applyAlignment="1" applyProtection="1">
      <alignment vertical="center"/>
      <protection locked="0"/>
    </xf>
    <xf numFmtId="184" fontId="0" fillId="0" borderId="11" xfId="0" applyNumberFormat="1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40" xfId="0" applyFont="1" applyBorder="1" applyAlignment="1">
      <alignment/>
    </xf>
    <xf numFmtId="0" fontId="0" fillId="0" borderId="31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 horizontal="left"/>
    </xf>
    <xf numFmtId="0" fontId="63" fillId="0" borderId="0" xfId="0" applyFont="1" applyBorder="1" applyAlignment="1">
      <alignment/>
    </xf>
    <xf numFmtId="0" fontId="63" fillId="0" borderId="0" xfId="0" applyFont="1" applyBorder="1" applyAlignment="1">
      <alignment horizontal="center"/>
    </xf>
    <xf numFmtId="0" fontId="64" fillId="0" borderId="0" xfId="0" applyFont="1" applyFill="1" applyBorder="1" applyAlignment="1">
      <alignment vertical="center" textRotation="90"/>
    </xf>
    <xf numFmtId="0" fontId="63" fillId="0" borderId="0" xfId="0" applyFont="1" applyBorder="1" applyAlignment="1">
      <alignment/>
    </xf>
    <xf numFmtId="0" fontId="63" fillId="0" borderId="0" xfId="0" applyFont="1" applyBorder="1" applyAlignment="1">
      <alignment horizontal="left"/>
    </xf>
    <xf numFmtId="0" fontId="64" fillId="0" borderId="0" xfId="0" applyFont="1" applyBorder="1" applyAlignment="1">
      <alignment/>
    </xf>
    <xf numFmtId="0" fontId="0" fillId="0" borderId="36" xfId="0" applyFont="1" applyBorder="1" applyAlignment="1">
      <alignment horizontal="center"/>
    </xf>
    <xf numFmtId="0" fontId="0" fillId="0" borderId="71" xfId="0" applyFont="1" applyBorder="1" applyAlignment="1">
      <alignment/>
    </xf>
    <xf numFmtId="0" fontId="0" fillId="0" borderId="72" xfId="0" applyFont="1" applyBorder="1" applyAlignment="1">
      <alignment/>
    </xf>
    <xf numFmtId="0" fontId="0" fillId="0" borderId="73" xfId="0" applyFont="1" applyBorder="1" applyAlignment="1">
      <alignment/>
    </xf>
    <xf numFmtId="0" fontId="0" fillId="0" borderId="71" xfId="0" applyFont="1" applyBorder="1" applyAlignment="1">
      <alignment horizontal="right"/>
    </xf>
    <xf numFmtId="0" fontId="0" fillId="0" borderId="72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0" fillId="0" borderId="74" xfId="0" applyFont="1" applyBorder="1" applyAlignment="1">
      <alignment/>
    </xf>
    <xf numFmtId="0" fontId="0" fillId="33" borderId="17" xfId="0" applyFont="1" applyFill="1" applyBorder="1" applyAlignment="1">
      <alignment horizontal="left"/>
    </xf>
    <xf numFmtId="0" fontId="0" fillId="33" borderId="18" xfId="0" applyFont="1" applyFill="1" applyBorder="1" applyAlignment="1">
      <alignment horizontal="left"/>
    </xf>
    <xf numFmtId="0" fontId="0" fillId="0" borderId="15" xfId="0" applyFont="1" applyBorder="1" applyAlignment="1">
      <alignment horizontal="right"/>
    </xf>
    <xf numFmtId="0" fontId="0" fillId="0" borderId="12" xfId="0" applyFont="1" applyBorder="1" applyAlignment="1">
      <alignment/>
    </xf>
    <xf numFmtId="0" fontId="0" fillId="33" borderId="28" xfId="0" applyFont="1" applyFill="1" applyBorder="1" applyAlignment="1">
      <alignment horizontal="center"/>
    </xf>
    <xf numFmtId="0" fontId="0" fillId="0" borderId="62" xfId="0" applyFont="1" applyFill="1" applyBorder="1" applyAlignment="1">
      <alignment/>
    </xf>
    <xf numFmtId="0" fontId="0" fillId="0" borderId="18" xfId="0" applyFont="1" applyBorder="1" applyAlignment="1">
      <alignment/>
    </xf>
    <xf numFmtId="0" fontId="0" fillId="0" borderId="15" xfId="0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0" fontId="0" fillId="0" borderId="75" xfId="0" applyFont="1" applyBorder="1" applyAlignment="1">
      <alignment/>
    </xf>
    <xf numFmtId="0" fontId="0" fillId="0" borderId="76" xfId="0" applyFont="1" applyBorder="1" applyAlignment="1">
      <alignment horizontal="right"/>
    </xf>
    <xf numFmtId="0" fontId="0" fillId="33" borderId="13" xfId="0" applyFont="1" applyFill="1" applyBorder="1" applyAlignment="1">
      <alignment horizontal="center"/>
    </xf>
    <xf numFmtId="0" fontId="0" fillId="0" borderId="77" xfId="0" applyFont="1" applyBorder="1" applyAlignment="1">
      <alignment/>
    </xf>
    <xf numFmtId="0" fontId="0" fillId="0" borderId="7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78" xfId="0" applyFont="1" applyFill="1" applyBorder="1" applyAlignment="1">
      <alignment/>
    </xf>
    <xf numFmtId="0" fontId="0" fillId="0" borderId="79" xfId="0" applyFont="1" applyFill="1" applyBorder="1" applyAlignment="1">
      <alignment horizontal="right"/>
    </xf>
    <xf numFmtId="0" fontId="0" fillId="33" borderId="80" xfId="0" applyFont="1" applyFill="1" applyBorder="1" applyAlignment="1">
      <alignment horizontal="center"/>
    </xf>
    <xf numFmtId="0" fontId="0" fillId="0" borderId="81" xfId="0" applyFont="1" applyFill="1" applyBorder="1" applyAlignment="1">
      <alignment/>
    </xf>
    <xf numFmtId="0" fontId="0" fillId="0" borderId="78" xfId="0" applyFont="1" applyFill="1" applyBorder="1" applyAlignment="1">
      <alignment horizontal="right"/>
    </xf>
    <xf numFmtId="0" fontId="0" fillId="0" borderId="78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right"/>
    </xf>
    <xf numFmtId="0" fontId="0" fillId="0" borderId="16" xfId="0" applyFont="1" applyFill="1" applyBorder="1" applyAlignment="1">
      <alignment horizontal="right"/>
    </xf>
    <xf numFmtId="0" fontId="0" fillId="0" borderId="82" xfId="0" applyFont="1" applyBorder="1" applyAlignment="1">
      <alignment horizontal="right"/>
    </xf>
    <xf numFmtId="0" fontId="0" fillId="0" borderId="65" xfId="0" applyFont="1" applyBorder="1" applyAlignment="1">
      <alignment/>
    </xf>
    <xf numFmtId="0" fontId="0" fillId="0" borderId="83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4" xfId="0" applyFont="1" applyFill="1" applyBorder="1" applyAlignment="1">
      <alignment horizontal="right"/>
    </xf>
    <xf numFmtId="0" fontId="0" fillId="33" borderId="17" xfId="0" applyFont="1" applyFill="1" applyBorder="1" applyAlignment="1">
      <alignment horizontal="center"/>
    </xf>
    <xf numFmtId="0" fontId="0" fillId="0" borderId="84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6" xfId="0" applyFont="1" applyBorder="1" applyAlignment="1">
      <alignment horizontal="right"/>
    </xf>
    <xf numFmtId="0" fontId="0" fillId="0" borderId="85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79" xfId="0" applyFont="1" applyBorder="1" applyAlignment="1">
      <alignment horizontal="right"/>
    </xf>
    <xf numFmtId="0" fontId="0" fillId="0" borderId="81" xfId="0" applyFont="1" applyBorder="1" applyAlignment="1">
      <alignment/>
    </xf>
    <xf numFmtId="0" fontId="0" fillId="34" borderId="11" xfId="0" applyFont="1" applyFill="1" applyBorder="1" applyAlignment="1" applyProtection="1">
      <alignment horizontal="center"/>
      <protection locked="0"/>
    </xf>
    <xf numFmtId="0" fontId="0" fillId="0" borderId="54" xfId="0" applyFont="1" applyFill="1" applyBorder="1" applyAlignment="1">
      <alignment horizontal="center"/>
    </xf>
    <xf numFmtId="0" fontId="0" fillId="0" borderId="86" xfId="0" applyFont="1" applyBorder="1" applyAlignment="1">
      <alignment horizontal="right"/>
    </xf>
    <xf numFmtId="0" fontId="0" fillId="33" borderId="87" xfId="0" applyFont="1" applyFill="1" applyBorder="1" applyAlignment="1">
      <alignment horizontal="center"/>
    </xf>
    <xf numFmtId="0" fontId="0" fillId="0" borderId="88" xfId="0" applyFont="1" applyBorder="1" applyAlignment="1">
      <alignment/>
    </xf>
    <xf numFmtId="0" fontId="0" fillId="0" borderId="0" xfId="0" applyFont="1" applyAlignment="1">
      <alignment horizontal="center"/>
    </xf>
    <xf numFmtId="0" fontId="0" fillId="33" borderId="11" xfId="0" applyFont="1" applyFill="1" applyBorder="1" applyAlignment="1">
      <alignment/>
    </xf>
    <xf numFmtId="0" fontId="0" fillId="0" borderId="27" xfId="0" applyFont="1" applyBorder="1" applyAlignment="1">
      <alignment/>
    </xf>
    <xf numFmtId="0" fontId="0" fillId="0" borderId="89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90" xfId="0" applyFont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11" xfId="0" applyFont="1" applyFill="1" applyBorder="1" applyAlignment="1">
      <alignment horizontal="left" vertical="center"/>
    </xf>
    <xf numFmtId="0" fontId="0" fillId="0" borderId="91" xfId="0" applyFont="1" applyBorder="1" applyAlignment="1">
      <alignment/>
    </xf>
    <xf numFmtId="0" fontId="0" fillId="0" borderId="92" xfId="0" applyFont="1" applyBorder="1" applyAlignment="1">
      <alignment/>
    </xf>
    <xf numFmtId="0" fontId="0" fillId="0" borderId="36" xfId="0" applyFont="1" applyBorder="1" applyAlignment="1">
      <alignment/>
    </xf>
    <xf numFmtId="0" fontId="0" fillId="33" borderId="11" xfId="0" applyFont="1" applyFill="1" applyBorder="1" applyAlignment="1">
      <alignment/>
    </xf>
    <xf numFmtId="0" fontId="0" fillId="0" borderId="11" xfId="33" applyFont="1" applyFill="1" applyBorder="1">
      <alignment vertical="center"/>
      <protection/>
    </xf>
    <xf numFmtId="0" fontId="0" fillId="0" borderId="11" xfId="33" applyFont="1" applyFill="1" applyBorder="1" applyAlignment="1">
      <alignment horizontal="center" vertical="center"/>
      <protection/>
    </xf>
    <xf numFmtId="0" fontId="0" fillId="33" borderId="11" xfId="33" applyFont="1" applyFill="1" applyBorder="1" applyAlignment="1">
      <alignment horizontal="center" vertical="center" wrapText="1"/>
      <protection/>
    </xf>
    <xf numFmtId="184" fontId="0" fillId="33" borderId="11" xfId="33" applyNumberFormat="1" applyFont="1" applyFill="1" applyBorder="1" applyAlignment="1">
      <alignment horizontal="center" vertical="center" wrapText="1"/>
      <protection/>
    </xf>
    <xf numFmtId="0" fontId="0" fillId="33" borderId="11" xfId="33" applyFont="1" applyFill="1" applyBorder="1" applyAlignment="1">
      <alignment horizontal="center" vertical="center"/>
      <protection/>
    </xf>
    <xf numFmtId="0" fontId="0" fillId="0" borderId="0" xfId="33" applyFont="1" applyFill="1">
      <alignment vertical="center"/>
      <protection/>
    </xf>
    <xf numFmtId="0" fontId="0" fillId="0" borderId="11" xfId="33" applyFont="1" applyFill="1" applyBorder="1" applyAlignment="1" quotePrefix="1">
      <alignment horizontal="center" vertical="center" wrapText="1"/>
      <protection/>
    </xf>
    <xf numFmtId="0" fontId="0" fillId="0" borderId="11" xfId="33" applyFont="1" applyFill="1" applyBorder="1" applyAlignment="1">
      <alignment horizontal="center" vertical="center" wrapText="1"/>
      <protection/>
    </xf>
    <xf numFmtId="184" fontId="0" fillId="0" borderId="11" xfId="33" applyNumberFormat="1" applyFont="1" applyFill="1" applyBorder="1" applyAlignment="1">
      <alignment horizontal="center" vertical="center" wrapText="1"/>
      <protection/>
    </xf>
    <xf numFmtId="0" fontId="0" fillId="0" borderId="21" xfId="33" applyFont="1" applyFill="1" applyBorder="1" applyAlignment="1">
      <alignment horizontal="center" vertical="center"/>
      <protection/>
    </xf>
    <xf numFmtId="0" fontId="0" fillId="0" borderId="22" xfId="33" applyFont="1" applyFill="1" applyBorder="1" applyAlignment="1">
      <alignment horizontal="center" vertical="center"/>
      <protection/>
    </xf>
    <xf numFmtId="0" fontId="0" fillId="0" borderId="22" xfId="33" applyFont="1" applyFill="1" applyBorder="1" applyAlignment="1">
      <alignment horizontal="center" vertical="center" wrapText="1"/>
      <protection/>
    </xf>
    <xf numFmtId="0" fontId="0" fillId="0" borderId="27" xfId="33" applyFont="1" applyFill="1" applyBorder="1" applyAlignment="1">
      <alignment horizontal="center" vertical="center" wrapText="1"/>
      <protection/>
    </xf>
    <xf numFmtId="0" fontId="0" fillId="0" borderId="0" xfId="33" applyFont="1">
      <alignment vertical="center"/>
      <protection/>
    </xf>
    <xf numFmtId="0" fontId="0" fillId="0" borderId="11" xfId="33" applyFont="1" applyFill="1" applyBorder="1" applyAlignment="1">
      <alignment vertical="center" wrapText="1"/>
      <protection/>
    </xf>
    <xf numFmtId="0" fontId="0" fillId="0" borderId="0" xfId="33" applyFont="1" applyFill="1" applyAlignment="1">
      <alignment horizontal="center" vertical="center"/>
      <protection/>
    </xf>
    <xf numFmtId="0" fontId="0" fillId="0" borderId="0" xfId="34" applyFont="1">
      <alignment/>
      <protection/>
    </xf>
    <xf numFmtId="0" fontId="0" fillId="33" borderId="11" xfId="33" applyFont="1" applyFill="1" applyBorder="1" applyAlignment="1">
      <alignment horizontal="center" vertical="center" wrapText="1"/>
      <protection/>
    </xf>
    <xf numFmtId="0" fontId="0" fillId="0" borderId="11" xfId="0" applyFont="1" applyBorder="1" applyAlignment="1">
      <alignment horizontal="center"/>
    </xf>
    <xf numFmtId="0" fontId="63" fillId="0" borderId="0" xfId="0" applyFont="1" applyAlignment="1" applyProtection="1">
      <alignment/>
      <protection locked="0"/>
    </xf>
    <xf numFmtId="0" fontId="6" fillId="0" borderId="0" xfId="42" applyFill="1" applyBorder="1" applyAlignment="1">
      <alignment horizontal="left"/>
    </xf>
    <xf numFmtId="0" fontId="0" fillId="0" borderId="11" xfId="0" applyFont="1" applyBorder="1" applyAlignment="1">
      <alignment horizontal="right"/>
    </xf>
    <xf numFmtId="0" fontId="0" fillId="0" borderId="23" xfId="0" applyFont="1" applyBorder="1" applyAlignment="1">
      <alignment horizontal="right"/>
    </xf>
    <xf numFmtId="0" fontId="0" fillId="33" borderId="21" xfId="0" applyFont="1" applyFill="1" applyBorder="1" applyAlignment="1">
      <alignment horizontal="center"/>
    </xf>
    <xf numFmtId="0" fontId="0" fillId="33" borderId="22" xfId="0" applyFont="1" applyFill="1" applyBorder="1" applyAlignment="1">
      <alignment horizontal="center"/>
    </xf>
    <xf numFmtId="0" fontId="0" fillId="33" borderId="27" xfId="0" applyFont="1" applyFill="1" applyBorder="1" applyAlignment="1">
      <alignment horizontal="center"/>
    </xf>
    <xf numFmtId="0" fontId="6" fillId="0" borderId="0" xfId="42" applyAlignment="1">
      <alignment horizontal="left"/>
    </xf>
    <xf numFmtId="0" fontId="0" fillId="0" borderId="40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22" fillId="0" borderId="22" xfId="0" applyFont="1" applyFill="1" applyBorder="1" applyAlignment="1">
      <alignment horizontal="left"/>
    </xf>
    <xf numFmtId="0" fontId="22" fillId="0" borderId="37" xfId="0" applyFont="1" applyFill="1" applyBorder="1" applyAlignment="1">
      <alignment horizontal="left"/>
    </xf>
    <xf numFmtId="0" fontId="2" fillId="33" borderId="68" xfId="0" applyFont="1" applyFill="1" applyBorder="1" applyAlignment="1">
      <alignment horizontal="left"/>
    </xf>
    <xf numFmtId="0" fontId="2" fillId="33" borderId="28" xfId="0" applyFont="1" applyFill="1" applyBorder="1" applyAlignment="1">
      <alignment horizontal="left"/>
    </xf>
    <xf numFmtId="0" fontId="2" fillId="33" borderId="93" xfId="0" applyFont="1" applyFill="1" applyBorder="1" applyAlignment="1">
      <alignment horizontal="center" vertical="center" textRotation="90"/>
    </xf>
    <xf numFmtId="0" fontId="2" fillId="33" borderId="94" xfId="0" applyFont="1" applyFill="1" applyBorder="1" applyAlignment="1">
      <alignment horizontal="center" vertical="center" textRotation="90"/>
    </xf>
    <xf numFmtId="0" fontId="2" fillId="33" borderId="95" xfId="0" applyFont="1" applyFill="1" applyBorder="1" applyAlignment="1">
      <alignment horizontal="center" vertical="center" textRotation="90"/>
    </xf>
    <xf numFmtId="0" fontId="63" fillId="0" borderId="0" xfId="0" applyFont="1" applyBorder="1" applyAlignment="1">
      <alignment horizontal="center"/>
    </xf>
    <xf numFmtId="0" fontId="23" fillId="0" borderId="5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33" borderId="14" xfId="0" applyFont="1" applyFill="1" applyBorder="1" applyAlignment="1">
      <alignment horizontal="left"/>
    </xf>
    <xf numFmtId="0" fontId="0" fillId="33" borderId="17" xfId="0" applyFont="1" applyFill="1" applyBorder="1" applyAlignment="1">
      <alignment horizontal="left"/>
    </xf>
    <xf numFmtId="0" fontId="0" fillId="33" borderId="18" xfId="0" applyFont="1" applyFill="1" applyBorder="1" applyAlignment="1">
      <alignment horizontal="left"/>
    </xf>
    <xf numFmtId="0" fontId="6" fillId="0" borderId="78" xfId="42" applyBorder="1" applyAlignment="1">
      <alignment horizontal="left"/>
    </xf>
    <xf numFmtId="0" fontId="6" fillId="0" borderId="78" xfId="42" applyFill="1" applyBorder="1" applyAlignment="1">
      <alignment horizontal="left"/>
    </xf>
    <xf numFmtId="0" fontId="0" fillId="33" borderId="21" xfId="0" applyFont="1" applyFill="1" applyBorder="1" applyAlignment="1">
      <alignment horizontal="left"/>
    </xf>
    <xf numFmtId="0" fontId="0" fillId="33" borderId="22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0" fontId="63" fillId="0" borderId="0" xfId="0" applyFont="1" applyFill="1" applyBorder="1" applyAlignment="1">
      <alignment horizontal="center"/>
    </xf>
    <xf numFmtId="184" fontId="18" fillId="33" borderId="11" xfId="0" applyNumberFormat="1" applyFont="1" applyFill="1" applyBorder="1" applyAlignment="1">
      <alignment horizontal="center"/>
    </xf>
    <xf numFmtId="0" fontId="0" fillId="0" borderId="11" xfId="0" applyFont="1" applyBorder="1" applyAlignment="1">
      <alignment horizontal="right" wrapText="1"/>
    </xf>
    <xf numFmtId="0" fontId="0" fillId="0" borderId="21" xfId="0" applyFont="1" applyBorder="1" applyAlignment="1">
      <alignment horizontal="right" vertical="center" wrapText="1"/>
    </xf>
    <xf numFmtId="0" fontId="0" fillId="0" borderId="27" xfId="0" applyFont="1" applyBorder="1" applyAlignment="1">
      <alignment horizontal="right" vertical="center"/>
    </xf>
    <xf numFmtId="0" fontId="0" fillId="0" borderId="21" xfId="0" applyFont="1" applyBorder="1" applyAlignment="1">
      <alignment horizontal="right"/>
    </xf>
    <xf numFmtId="0" fontId="0" fillId="0" borderId="27" xfId="0" applyFont="1" applyBorder="1" applyAlignment="1">
      <alignment horizontal="right"/>
    </xf>
    <xf numFmtId="0" fontId="6" fillId="0" borderId="52" xfId="42" applyFill="1" applyBorder="1" applyAlignment="1">
      <alignment horizontal="center" vertical="center"/>
    </xf>
    <xf numFmtId="0" fontId="6" fillId="0" borderId="0" xfId="42" applyFill="1" applyAlignment="1">
      <alignment horizontal="center" vertical="center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Normal_H型钢表" xfId="33"/>
    <cellStyle name="Normal_型钢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dxfs count="17">
    <dxf>
      <font>
        <b/>
        <i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color indexed="10"/>
      </font>
    </dxf>
    <dxf>
      <font>
        <color indexed="10"/>
      </font>
    </dxf>
    <dxf>
      <font>
        <b/>
        <i/>
        <color indexed="10"/>
      </font>
    </dxf>
    <dxf>
      <font>
        <color indexed="10"/>
      </font>
    </dxf>
    <dxf>
      <font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/>
        <color indexed="14"/>
      </font>
    </dxf>
    <dxf>
      <font>
        <b/>
        <i/>
        <color indexed="12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3</xdr:row>
      <xdr:rowOff>142875</xdr:rowOff>
    </xdr:from>
    <xdr:to>
      <xdr:col>1</xdr:col>
      <xdr:colOff>228600</xdr:colOff>
      <xdr:row>4</xdr:row>
      <xdr:rowOff>47625</xdr:rowOff>
    </xdr:to>
    <xdr:sp>
      <xdr:nvSpPr>
        <xdr:cNvPr id="1" name="AutoShape 3"/>
        <xdr:cNvSpPr>
          <a:spLocks/>
        </xdr:cNvSpPr>
      </xdr:nvSpPr>
      <xdr:spPr>
        <a:xfrm>
          <a:off x="352425" y="657225"/>
          <a:ext cx="123825" cy="76200"/>
        </a:xfrm>
        <a:prstGeom prst="triangl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3</xdr:row>
      <xdr:rowOff>123825</xdr:rowOff>
    </xdr:from>
    <xdr:to>
      <xdr:col>4</xdr:col>
      <xdr:colOff>47625</xdr:colOff>
      <xdr:row>4</xdr:row>
      <xdr:rowOff>47625</xdr:rowOff>
    </xdr:to>
    <xdr:sp>
      <xdr:nvSpPr>
        <xdr:cNvPr id="2" name="AutoShape 4"/>
        <xdr:cNvSpPr>
          <a:spLocks/>
        </xdr:cNvSpPr>
      </xdr:nvSpPr>
      <xdr:spPr>
        <a:xfrm>
          <a:off x="2009775" y="638175"/>
          <a:ext cx="95250" cy="95250"/>
        </a:xfrm>
        <a:prstGeom prst="triangl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3</xdr:row>
      <xdr:rowOff>123825</xdr:rowOff>
    </xdr:from>
    <xdr:to>
      <xdr:col>4</xdr:col>
      <xdr:colOff>19050</xdr:colOff>
      <xdr:row>3</xdr:row>
      <xdr:rowOff>123825</xdr:rowOff>
    </xdr:to>
    <xdr:sp>
      <xdr:nvSpPr>
        <xdr:cNvPr id="3" name="Line 6"/>
        <xdr:cNvSpPr>
          <a:spLocks/>
        </xdr:cNvSpPr>
      </xdr:nvSpPr>
      <xdr:spPr>
        <a:xfrm>
          <a:off x="390525" y="638175"/>
          <a:ext cx="16859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600075</xdr:colOff>
      <xdr:row>1</xdr:row>
      <xdr:rowOff>114300</xdr:rowOff>
    </xdr:from>
    <xdr:to>
      <xdr:col>2</xdr:col>
      <xdr:colOff>600075</xdr:colOff>
      <xdr:row>3</xdr:row>
      <xdr:rowOff>142875</xdr:rowOff>
    </xdr:to>
    <xdr:sp>
      <xdr:nvSpPr>
        <xdr:cNvPr id="4" name="Line 7"/>
        <xdr:cNvSpPr>
          <a:spLocks/>
        </xdr:cNvSpPr>
      </xdr:nvSpPr>
      <xdr:spPr>
        <a:xfrm>
          <a:off x="1457325" y="285750"/>
          <a:ext cx="0" cy="3714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5</xdr:row>
      <xdr:rowOff>66675</xdr:rowOff>
    </xdr:from>
    <xdr:to>
      <xdr:col>1</xdr:col>
      <xdr:colOff>142875</xdr:colOff>
      <xdr:row>9</xdr:row>
      <xdr:rowOff>85725</xdr:rowOff>
    </xdr:to>
    <xdr:sp>
      <xdr:nvSpPr>
        <xdr:cNvPr id="5" name="Line 8"/>
        <xdr:cNvSpPr>
          <a:spLocks/>
        </xdr:cNvSpPr>
      </xdr:nvSpPr>
      <xdr:spPr>
        <a:xfrm>
          <a:off x="390525" y="923925"/>
          <a:ext cx="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28575</xdr:rowOff>
    </xdr:from>
    <xdr:to>
      <xdr:col>3</xdr:col>
      <xdr:colOff>0</xdr:colOff>
      <xdr:row>7</xdr:row>
      <xdr:rowOff>95250</xdr:rowOff>
    </xdr:to>
    <xdr:sp>
      <xdr:nvSpPr>
        <xdr:cNvPr id="6" name="Line 9"/>
        <xdr:cNvSpPr>
          <a:spLocks/>
        </xdr:cNvSpPr>
      </xdr:nvSpPr>
      <xdr:spPr>
        <a:xfrm>
          <a:off x="1476375" y="885825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</xdr:row>
      <xdr:rowOff>38100</xdr:rowOff>
    </xdr:from>
    <xdr:to>
      <xdr:col>4</xdr:col>
      <xdr:colOff>9525</xdr:colOff>
      <xdr:row>9</xdr:row>
      <xdr:rowOff>104775</xdr:rowOff>
    </xdr:to>
    <xdr:sp>
      <xdr:nvSpPr>
        <xdr:cNvPr id="7" name="Line 10"/>
        <xdr:cNvSpPr>
          <a:spLocks/>
        </xdr:cNvSpPr>
      </xdr:nvSpPr>
      <xdr:spPr>
        <a:xfrm>
          <a:off x="2057400" y="895350"/>
          <a:ext cx="9525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7</xdr:row>
      <xdr:rowOff>19050</xdr:rowOff>
    </xdr:from>
    <xdr:to>
      <xdr:col>2</xdr:col>
      <xdr:colOff>600075</xdr:colOff>
      <xdr:row>7</xdr:row>
      <xdr:rowOff>19050</xdr:rowOff>
    </xdr:to>
    <xdr:sp>
      <xdr:nvSpPr>
        <xdr:cNvPr id="8" name="Line 11"/>
        <xdr:cNvSpPr>
          <a:spLocks/>
        </xdr:cNvSpPr>
      </xdr:nvSpPr>
      <xdr:spPr>
        <a:xfrm>
          <a:off x="390525" y="1209675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7</xdr:row>
      <xdr:rowOff>19050</xdr:rowOff>
    </xdr:from>
    <xdr:to>
      <xdr:col>3</xdr:col>
      <xdr:colOff>581025</xdr:colOff>
      <xdr:row>7</xdr:row>
      <xdr:rowOff>19050</xdr:rowOff>
    </xdr:to>
    <xdr:sp>
      <xdr:nvSpPr>
        <xdr:cNvPr id="9" name="Line 12"/>
        <xdr:cNvSpPr>
          <a:spLocks/>
        </xdr:cNvSpPr>
      </xdr:nvSpPr>
      <xdr:spPr>
        <a:xfrm>
          <a:off x="1495425" y="120967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152400</xdr:colOff>
      <xdr:row>9</xdr:row>
      <xdr:rowOff>9525</xdr:rowOff>
    </xdr:from>
    <xdr:to>
      <xdr:col>4</xdr:col>
      <xdr:colOff>0</xdr:colOff>
      <xdr:row>9</xdr:row>
      <xdr:rowOff>9525</xdr:rowOff>
    </xdr:to>
    <xdr:sp>
      <xdr:nvSpPr>
        <xdr:cNvPr id="10" name="Line 13"/>
        <xdr:cNvSpPr>
          <a:spLocks/>
        </xdr:cNvSpPr>
      </xdr:nvSpPr>
      <xdr:spPr>
        <a:xfrm>
          <a:off x="400050" y="1533525"/>
          <a:ext cx="1657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18</xdr:row>
      <xdr:rowOff>57150</xdr:rowOff>
    </xdr:from>
    <xdr:to>
      <xdr:col>1</xdr:col>
      <xdr:colOff>266700</xdr:colOff>
      <xdr:row>19</xdr:row>
      <xdr:rowOff>28575</xdr:rowOff>
    </xdr:to>
    <xdr:sp>
      <xdr:nvSpPr>
        <xdr:cNvPr id="11" name="AutoShape 14"/>
        <xdr:cNvSpPr>
          <a:spLocks/>
        </xdr:cNvSpPr>
      </xdr:nvSpPr>
      <xdr:spPr>
        <a:xfrm>
          <a:off x="390525" y="3219450"/>
          <a:ext cx="123825" cy="142875"/>
        </a:xfrm>
        <a:prstGeom prst="triangl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57150</xdr:rowOff>
    </xdr:from>
    <xdr:to>
      <xdr:col>4</xdr:col>
      <xdr:colOff>95250</xdr:colOff>
      <xdr:row>19</xdr:row>
      <xdr:rowOff>19050</xdr:rowOff>
    </xdr:to>
    <xdr:sp>
      <xdr:nvSpPr>
        <xdr:cNvPr id="12" name="AutoShape 15"/>
        <xdr:cNvSpPr>
          <a:spLocks/>
        </xdr:cNvSpPr>
      </xdr:nvSpPr>
      <xdr:spPr>
        <a:xfrm>
          <a:off x="2057400" y="3219450"/>
          <a:ext cx="95250" cy="133350"/>
        </a:xfrm>
        <a:prstGeom prst="triangl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18</xdr:row>
      <xdr:rowOff>47625</xdr:rowOff>
    </xdr:from>
    <xdr:to>
      <xdr:col>4</xdr:col>
      <xdr:colOff>57150</xdr:colOff>
      <xdr:row>18</xdr:row>
      <xdr:rowOff>57150</xdr:rowOff>
    </xdr:to>
    <xdr:sp>
      <xdr:nvSpPr>
        <xdr:cNvPr id="13" name="Line 16"/>
        <xdr:cNvSpPr>
          <a:spLocks/>
        </xdr:cNvSpPr>
      </xdr:nvSpPr>
      <xdr:spPr>
        <a:xfrm>
          <a:off x="428625" y="3209925"/>
          <a:ext cx="1685925" cy="190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17</xdr:row>
      <xdr:rowOff>19050</xdr:rowOff>
    </xdr:from>
    <xdr:to>
      <xdr:col>1</xdr:col>
      <xdr:colOff>200025</xdr:colOff>
      <xdr:row>18</xdr:row>
      <xdr:rowOff>28575</xdr:rowOff>
    </xdr:to>
    <xdr:sp>
      <xdr:nvSpPr>
        <xdr:cNvPr id="14" name="Line 17"/>
        <xdr:cNvSpPr>
          <a:spLocks/>
        </xdr:cNvSpPr>
      </xdr:nvSpPr>
      <xdr:spPr>
        <a:xfrm>
          <a:off x="447675" y="30003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333375</xdr:colOff>
      <xdr:row>17</xdr:row>
      <xdr:rowOff>19050</xdr:rowOff>
    </xdr:from>
    <xdr:to>
      <xdr:col>1</xdr:col>
      <xdr:colOff>333375</xdr:colOff>
      <xdr:row>18</xdr:row>
      <xdr:rowOff>28575</xdr:rowOff>
    </xdr:to>
    <xdr:sp>
      <xdr:nvSpPr>
        <xdr:cNvPr id="15" name="Line 18"/>
        <xdr:cNvSpPr>
          <a:spLocks/>
        </xdr:cNvSpPr>
      </xdr:nvSpPr>
      <xdr:spPr>
        <a:xfrm>
          <a:off x="581025" y="30003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485775</xdr:colOff>
      <xdr:row>17</xdr:row>
      <xdr:rowOff>19050</xdr:rowOff>
    </xdr:from>
    <xdr:to>
      <xdr:col>1</xdr:col>
      <xdr:colOff>485775</xdr:colOff>
      <xdr:row>18</xdr:row>
      <xdr:rowOff>28575</xdr:rowOff>
    </xdr:to>
    <xdr:sp>
      <xdr:nvSpPr>
        <xdr:cNvPr id="16" name="Line 19"/>
        <xdr:cNvSpPr>
          <a:spLocks/>
        </xdr:cNvSpPr>
      </xdr:nvSpPr>
      <xdr:spPr>
        <a:xfrm>
          <a:off x="733425" y="30003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17</xdr:row>
      <xdr:rowOff>28575</xdr:rowOff>
    </xdr:from>
    <xdr:to>
      <xdr:col>2</xdr:col>
      <xdr:colOff>19050</xdr:colOff>
      <xdr:row>18</xdr:row>
      <xdr:rowOff>38100</xdr:rowOff>
    </xdr:to>
    <xdr:sp>
      <xdr:nvSpPr>
        <xdr:cNvPr id="17" name="Line 20"/>
        <xdr:cNvSpPr>
          <a:spLocks/>
        </xdr:cNvSpPr>
      </xdr:nvSpPr>
      <xdr:spPr>
        <a:xfrm flipH="1">
          <a:off x="876300" y="300990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161925</xdr:colOff>
      <xdr:row>17</xdr:row>
      <xdr:rowOff>28575</xdr:rowOff>
    </xdr:from>
    <xdr:to>
      <xdr:col>2</xdr:col>
      <xdr:colOff>161925</xdr:colOff>
      <xdr:row>18</xdr:row>
      <xdr:rowOff>38100</xdr:rowOff>
    </xdr:to>
    <xdr:sp>
      <xdr:nvSpPr>
        <xdr:cNvPr id="18" name="Line 21"/>
        <xdr:cNvSpPr>
          <a:spLocks/>
        </xdr:cNvSpPr>
      </xdr:nvSpPr>
      <xdr:spPr>
        <a:xfrm>
          <a:off x="1019175" y="300990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304800</xdr:colOff>
      <xdr:row>17</xdr:row>
      <xdr:rowOff>19050</xdr:rowOff>
    </xdr:from>
    <xdr:to>
      <xdr:col>2</xdr:col>
      <xdr:colOff>304800</xdr:colOff>
      <xdr:row>18</xdr:row>
      <xdr:rowOff>38100</xdr:rowOff>
    </xdr:to>
    <xdr:sp>
      <xdr:nvSpPr>
        <xdr:cNvPr id="19" name="Line 22"/>
        <xdr:cNvSpPr>
          <a:spLocks/>
        </xdr:cNvSpPr>
      </xdr:nvSpPr>
      <xdr:spPr>
        <a:xfrm>
          <a:off x="1162050" y="300037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17</xdr:row>
      <xdr:rowOff>28575</xdr:rowOff>
    </xdr:from>
    <xdr:to>
      <xdr:col>2</xdr:col>
      <xdr:colOff>542925</xdr:colOff>
      <xdr:row>18</xdr:row>
      <xdr:rowOff>47625</xdr:rowOff>
    </xdr:to>
    <xdr:sp>
      <xdr:nvSpPr>
        <xdr:cNvPr id="20" name="Line 23"/>
        <xdr:cNvSpPr>
          <a:spLocks/>
        </xdr:cNvSpPr>
      </xdr:nvSpPr>
      <xdr:spPr>
        <a:xfrm>
          <a:off x="1400175" y="30099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17</xdr:row>
      <xdr:rowOff>28575</xdr:rowOff>
    </xdr:from>
    <xdr:to>
      <xdr:col>3</xdr:col>
      <xdr:colOff>66675</xdr:colOff>
      <xdr:row>18</xdr:row>
      <xdr:rowOff>47625</xdr:rowOff>
    </xdr:to>
    <xdr:sp>
      <xdr:nvSpPr>
        <xdr:cNvPr id="21" name="Line 24"/>
        <xdr:cNvSpPr>
          <a:spLocks/>
        </xdr:cNvSpPr>
      </xdr:nvSpPr>
      <xdr:spPr>
        <a:xfrm>
          <a:off x="1543050" y="30099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219075</xdr:colOff>
      <xdr:row>17</xdr:row>
      <xdr:rowOff>28575</xdr:rowOff>
    </xdr:from>
    <xdr:to>
      <xdr:col>3</xdr:col>
      <xdr:colOff>219075</xdr:colOff>
      <xdr:row>18</xdr:row>
      <xdr:rowOff>47625</xdr:rowOff>
    </xdr:to>
    <xdr:sp>
      <xdr:nvSpPr>
        <xdr:cNvPr id="22" name="Line 25"/>
        <xdr:cNvSpPr>
          <a:spLocks/>
        </xdr:cNvSpPr>
      </xdr:nvSpPr>
      <xdr:spPr>
        <a:xfrm>
          <a:off x="1695450" y="30099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17</xdr:row>
      <xdr:rowOff>38100</xdr:rowOff>
    </xdr:from>
    <xdr:to>
      <xdr:col>3</xdr:col>
      <xdr:colOff>361950</xdr:colOff>
      <xdr:row>18</xdr:row>
      <xdr:rowOff>47625</xdr:rowOff>
    </xdr:to>
    <xdr:sp>
      <xdr:nvSpPr>
        <xdr:cNvPr id="23" name="Line 26"/>
        <xdr:cNvSpPr>
          <a:spLocks/>
        </xdr:cNvSpPr>
      </xdr:nvSpPr>
      <xdr:spPr>
        <a:xfrm>
          <a:off x="1838325" y="30194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504825</xdr:colOff>
      <xdr:row>17</xdr:row>
      <xdr:rowOff>28575</xdr:rowOff>
    </xdr:from>
    <xdr:to>
      <xdr:col>3</xdr:col>
      <xdr:colOff>504825</xdr:colOff>
      <xdr:row>18</xdr:row>
      <xdr:rowOff>38100</xdr:rowOff>
    </xdr:to>
    <xdr:sp>
      <xdr:nvSpPr>
        <xdr:cNvPr id="24" name="Line 27"/>
        <xdr:cNvSpPr>
          <a:spLocks/>
        </xdr:cNvSpPr>
      </xdr:nvSpPr>
      <xdr:spPr>
        <a:xfrm>
          <a:off x="1981200" y="300990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17</xdr:row>
      <xdr:rowOff>28575</xdr:rowOff>
    </xdr:from>
    <xdr:to>
      <xdr:col>4</xdr:col>
      <xdr:colOff>47625</xdr:colOff>
      <xdr:row>18</xdr:row>
      <xdr:rowOff>47625</xdr:rowOff>
    </xdr:to>
    <xdr:sp>
      <xdr:nvSpPr>
        <xdr:cNvPr id="25" name="Line 28"/>
        <xdr:cNvSpPr>
          <a:spLocks/>
        </xdr:cNvSpPr>
      </xdr:nvSpPr>
      <xdr:spPr>
        <a:xfrm>
          <a:off x="2105025" y="30099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419100</xdr:colOff>
      <xdr:row>17</xdr:row>
      <xdr:rowOff>28575</xdr:rowOff>
    </xdr:from>
    <xdr:to>
      <xdr:col>2</xdr:col>
      <xdr:colOff>419100</xdr:colOff>
      <xdr:row>18</xdr:row>
      <xdr:rowOff>38100</xdr:rowOff>
    </xdr:to>
    <xdr:sp>
      <xdr:nvSpPr>
        <xdr:cNvPr id="26" name="Line 29"/>
        <xdr:cNvSpPr>
          <a:spLocks/>
        </xdr:cNvSpPr>
      </xdr:nvSpPr>
      <xdr:spPr>
        <a:xfrm>
          <a:off x="1276350" y="300990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19</xdr:row>
      <xdr:rowOff>66675</xdr:rowOff>
    </xdr:from>
    <xdr:to>
      <xdr:col>1</xdr:col>
      <xdr:colOff>190500</xdr:colOff>
      <xdr:row>21</xdr:row>
      <xdr:rowOff>133350</xdr:rowOff>
    </xdr:to>
    <xdr:sp>
      <xdr:nvSpPr>
        <xdr:cNvPr id="27" name="Line 30"/>
        <xdr:cNvSpPr>
          <a:spLocks/>
        </xdr:cNvSpPr>
      </xdr:nvSpPr>
      <xdr:spPr>
        <a:xfrm flipH="1">
          <a:off x="438150" y="3400425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19</xdr:row>
      <xdr:rowOff>95250</xdr:rowOff>
    </xdr:from>
    <xdr:to>
      <xdr:col>4</xdr:col>
      <xdr:colOff>47625</xdr:colOff>
      <xdr:row>21</xdr:row>
      <xdr:rowOff>133350</xdr:rowOff>
    </xdr:to>
    <xdr:sp>
      <xdr:nvSpPr>
        <xdr:cNvPr id="28" name="Line 31"/>
        <xdr:cNvSpPr>
          <a:spLocks/>
        </xdr:cNvSpPr>
      </xdr:nvSpPr>
      <xdr:spPr>
        <a:xfrm>
          <a:off x="2105025" y="3429000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21</xdr:row>
      <xdr:rowOff>47625</xdr:rowOff>
    </xdr:from>
    <xdr:to>
      <xdr:col>4</xdr:col>
      <xdr:colOff>47625</xdr:colOff>
      <xdr:row>21</xdr:row>
      <xdr:rowOff>57150</xdr:rowOff>
    </xdr:to>
    <xdr:sp>
      <xdr:nvSpPr>
        <xdr:cNvPr id="29" name="Line 32"/>
        <xdr:cNvSpPr>
          <a:spLocks/>
        </xdr:cNvSpPr>
      </xdr:nvSpPr>
      <xdr:spPr>
        <a:xfrm>
          <a:off x="438150" y="3705225"/>
          <a:ext cx="16668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17</xdr:row>
      <xdr:rowOff>19050</xdr:rowOff>
    </xdr:from>
    <xdr:to>
      <xdr:col>4</xdr:col>
      <xdr:colOff>47625</xdr:colOff>
      <xdr:row>17</xdr:row>
      <xdr:rowOff>28575</xdr:rowOff>
    </xdr:to>
    <xdr:sp>
      <xdr:nvSpPr>
        <xdr:cNvPr id="30" name="Line 87"/>
        <xdr:cNvSpPr>
          <a:spLocks/>
        </xdr:cNvSpPr>
      </xdr:nvSpPr>
      <xdr:spPr>
        <a:xfrm>
          <a:off x="447675" y="3000375"/>
          <a:ext cx="16573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4</xdr:row>
      <xdr:rowOff>38100</xdr:rowOff>
    </xdr:from>
    <xdr:to>
      <xdr:col>4</xdr:col>
      <xdr:colOff>95250</xdr:colOff>
      <xdr:row>4</xdr:row>
      <xdr:rowOff>38100</xdr:rowOff>
    </xdr:to>
    <xdr:sp>
      <xdr:nvSpPr>
        <xdr:cNvPr id="1" name="Line 1"/>
        <xdr:cNvSpPr>
          <a:spLocks/>
        </xdr:cNvSpPr>
      </xdr:nvSpPr>
      <xdr:spPr>
        <a:xfrm>
          <a:off x="447675" y="723900"/>
          <a:ext cx="16573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</xdr:colOff>
      <xdr:row>2</xdr:row>
      <xdr:rowOff>19050</xdr:rowOff>
    </xdr:from>
    <xdr:to>
      <xdr:col>2</xdr:col>
      <xdr:colOff>85725</xdr:colOff>
      <xdr:row>4</xdr:row>
      <xdr:rowOff>19050</xdr:rowOff>
    </xdr:to>
    <xdr:sp>
      <xdr:nvSpPr>
        <xdr:cNvPr id="2" name="Line 2"/>
        <xdr:cNvSpPr>
          <a:spLocks/>
        </xdr:cNvSpPr>
      </xdr:nvSpPr>
      <xdr:spPr>
        <a:xfrm>
          <a:off x="914400" y="361950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219075</xdr:colOff>
      <xdr:row>4</xdr:row>
      <xdr:rowOff>95250</xdr:rowOff>
    </xdr:from>
    <xdr:to>
      <xdr:col>1</xdr:col>
      <xdr:colOff>219075</xdr:colOff>
      <xdr:row>9</xdr:row>
      <xdr:rowOff>19050</xdr:rowOff>
    </xdr:to>
    <xdr:sp>
      <xdr:nvSpPr>
        <xdr:cNvPr id="3" name="Line 3"/>
        <xdr:cNvSpPr>
          <a:spLocks/>
        </xdr:cNvSpPr>
      </xdr:nvSpPr>
      <xdr:spPr>
        <a:xfrm>
          <a:off x="457200" y="7810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6</xdr:row>
      <xdr:rowOff>19050</xdr:rowOff>
    </xdr:from>
    <xdr:to>
      <xdr:col>4</xdr:col>
      <xdr:colOff>85725</xdr:colOff>
      <xdr:row>9</xdr:row>
      <xdr:rowOff>57150</xdr:rowOff>
    </xdr:to>
    <xdr:sp>
      <xdr:nvSpPr>
        <xdr:cNvPr id="4" name="Line 4"/>
        <xdr:cNvSpPr>
          <a:spLocks/>
        </xdr:cNvSpPr>
      </xdr:nvSpPr>
      <xdr:spPr>
        <a:xfrm>
          <a:off x="2095500" y="104775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219075</xdr:colOff>
      <xdr:row>8</xdr:row>
      <xdr:rowOff>161925</xdr:rowOff>
    </xdr:from>
    <xdr:to>
      <xdr:col>4</xdr:col>
      <xdr:colOff>85725</xdr:colOff>
      <xdr:row>8</xdr:row>
      <xdr:rowOff>161925</xdr:rowOff>
    </xdr:to>
    <xdr:sp>
      <xdr:nvSpPr>
        <xdr:cNvPr id="5" name="Line 5"/>
        <xdr:cNvSpPr>
          <a:spLocks/>
        </xdr:cNvSpPr>
      </xdr:nvSpPr>
      <xdr:spPr>
        <a:xfrm>
          <a:off x="457200" y="1514475"/>
          <a:ext cx="1638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2</xdr:row>
      <xdr:rowOff>76200</xdr:rowOff>
    </xdr:from>
    <xdr:to>
      <xdr:col>4</xdr:col>
      <xdr:colOff>95250</xdr:colOff>
      <xdr:row>5</xdr:row>
      <xdr:rowOff>123825</xdr:rowOff>
    </xdr:to>
    <xdr:sp>
      <xdr:nvSpPr>
        <xdr:cNvPr id="6" name="Line 6"/>
        <xdr:cNvSpPr>
          <a:spLocks/>
        </xdr:cNvSpPr>
      </xdr:nvSpPr>
      <xdr:spPr>
        <a:xfrm flipH="1">
          <a:off x="2095500" y="419100"/>
          <a:ext cx="19050" cy="5619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104775</xdr:colOff>
      <xdr:row>2</xdr:row>
      <xdr:rowOff>66675</xdr:rowOff>
    </xdr:from>
    <xdr:to>
      <xdr:col>4</xdr:col>
      <xdr:colOff>200025</xdr:colOff>
      <xdr:row>2</xdr:row>
      <xdr:rowOff>161925</xdr:rowOff>
    </xdr:to>
    <xdr:sp>
      <xdr:nvSpPr>
        <xdr:cNvPr id="7" name="Line 7"/>
        <xdr:cNvSpPr>
          <a:spLocks/>
        </xdr:cNvSpPr>
      </xdr:nvSpPr>
      <xdr:spPr>
        <a:xfrm flipV="1">
          <a:off x="2114550" y="409575"/>
          <a:ext cx="952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114300</xdr:colOff>
      <xdr:row>2</xdr:row>
      <xdr:rowOff>152400</xdr:rowOff>
    </xdr:from>
    <xdr:to>
      <xdr:col>4</xdr:col>
      <xdr:colOff>209550</xdr:colOff>
      <xdr:row>3</xdr:row>
      <xdr:rowOff>76200</xdr:rowOff>
    </xdr:to>
    <xdr:sp>
      <xdr:nvSpPr>
        <xdr:cNvPr id="8" name="Line 8"/>
        <xdr:cNvSpPr>
          <a:spLocks/>
        </xdr:cNvSpPr>
      </xdr:nvSpPr>
      <xdr:spPr>
        <a:xfrm flipV="1">
          <a:off x="2124075" y="495300"/>
          <a:ext cx="952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114300</xdr:colOff>
      <xdr:row>3</xdr:row>
      <xdr:rowOff>47625</xdr:rowOff>
    </xdr:from>
    <xdr:to>
      <xdr:col>4</xdr:col>
      <xdr:colOff>209550</xdr:colOff>
      <xdr:row>3</xdr:row>
      <xdr:rowOff>142875</xdr:rowOff>
    </xdr:to>
    <xdr:sp>
      <xdr:nvSpPr>
        <xdr:cNvPr id="9" name="Line 9"/>
        <xdr:cNvSpPr>
          <a:spLocks/>
        </xdr:cNvSpPr>
      </xdr:nvSpPr>
      <xdr:spPr>
        <a:xfrm flipV="1">
          <a:off x="2124075" y="561975"/>
          <a:ext cx="952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104775</xdr:colOff>
      <xdr:row>5</xdr:row>
      <xdr:rowOff>19050</xdr:rowOff>
    </xdr:from>
    <xdr:to>
      <xdr:col>4</xdr:col>
      <xdr:colOff>200025</xdr:colOff>
      <xdr:row>5</xdr:row>
      <xdr:rowOff>114300</xdr:rowOff>
    </xdr:to>
    <xdr:sp>
      <xdr:nvSpPr>
        <xdr:cNvPr id="10" name="Line 10"/>
        <xdr:cNvSpPr>
          <a:spLocks/>
        </xdr:cNvSpPr>
      </xdr:nvSpPr>
      <xdr:spPr>
        <a:xfrm flipV="1">
          <a:off x="2114550" y="876300"/>
          <a:ext cx="952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104775</xdr:colOff>
      <xdr:row>3</xdr:row>
      <xdr:rowOff>142875</xdr:rowOff>
    </xdr:from>
    <xdr:to>
      <xdr:col>4</xdr:col>
      <xdr:colOff>190500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 flipV="1">
          <a:off x="2114550" y="657225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</xdr:colOff>
      <xdr:row>5</xdr:row>
      <xdr:rowOff>28575</xdr:rowOff>
    </xdr:from>
    <xdr:to>
      <xdr:col>4</xdr:col>
      <xdr:colOff>190500</xdr:colOff>
      <xdr:row>5</xdr:row>
      <xdr:rowOff>123825</xdr:rowOff>
    </xdr:to>
    <xdr:sp>
      <xdr:nvSpPr>
        <xdr:cNvPr id="12" name="Line 12"/>
        <xdr:cNvSpPr>
          <a:spLocks/>
        </xdr:cNvSpPr>
      </xdr:nvSpPr>
      <xdr:spPr>
        <a:xfrm flipV="1">
          <a:off x="2105025" y="885825"/>
          <a:ext cx="952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104775</xdr:colOff>
      <xdr:row>4</xdr:row>
      <xdr:rowOff>76200</xdr:rowOff>
    </xdr:from>
    <xdr:to>
      <xdr:col>4</xdr:col>
      <xdr:colOff>190500</xdr:colOff>
      <xdr:row>5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2114550" y="762000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6</xdr:row>
      <xdr:rowOff>28575</xdr:rowOff>
    </xdr:from>
    <xdr:to>
      <xdr:col>2</xdr:col>
      <xdr:colOff>85725</xdr:colOff>
      <xdr:row>6</xdr:row>
      <xdr:rowOff>28575</xdr:rowOff>
    </xdr:to>
    <xdr:sp>
      <xdr:nvSpPr>
        <xdr:cNvPr id="14" name="Line 14"/>
        <xdr:cNvSpPr>
          <a:spLocks/>
        </xdr:cNvSpPr>
      </xdr:nvSpPr>
      <xdr:spPr>
        <a:xfrm>
          <a:off x="466725" y="10572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</xdr:colOff>
      <xdr:row>4</xdr:row>
      <xdr:rowOff>95250</xdr:rowOff>
    </xdr:from>
    <xdr:to>
      <xdr:col>2</xdr:col>
      <xdr:colOff>85725</xdr:colOff>
      <xdr:row>7</xdr:row>
      <xdr:rowOff>19050</xdr:rowOff>
    </xdr:to>
    <xdr:sp>
      <xdr:nvSpPr>
        <xdr:cNvPr id="15" name="Line 15"/>
        <xdr:cNvSpPr>
          <a:spLocks/>
        </xdr:cNvSpPr>
      </xdr:nvSpPr>
      <xdr:spPr>
        <a:xfrm>
          <a:off x="914400" y="78105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6</xdr:row>
      <xdr:rowOff>38100</xdr:rowOff>
    </xdr:from>
    <xdr:to>
      <xdr:col>4</xdr:col>
      <xdr:colOff>76200</xdr:colOff>
      <xdr:row>6</xdr:row>
      <xdr:rowOff>47625</xdr:rowOff>
    </xdr:to>
    <xdr:sp>
      <xdr:nvSpPr>
        <xdr:cNvPr id="16" name="Line 16"/>
        <xdr:cNvSpPr>
          <a:spLocks/>
        </xdr:cNvSpPr>
      </xdr:nvSpPr>
      <xdr:spPr>
        <a:xfrm>
          <a:off x="923925" y="1066800"/>
          <a:ext cx="11620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18</xdr:row>
      <xdr:rowOff>85725</xdr:rowOff>
    </xdr:from>
    <xdr:to>
      <xdr:col>4</xdr:col>
      <xdr:colOff>152400</xdr:colOff>
      <xdr:row>18</xdr:row>
      <xdr:rowOff>85725</xdr:rowOff>
    </xdr:to>
    <xdr:sp>
      <xdr:nvSpPr>
        <xdr:cNvPr id="17" name="Line 17"/>
        <xdr:cNvSpPr>
          <a:spLocks/>
        </xdr:cNvSpPr>
      </xdr:nvSpPr>
      <xdr:spPr>
        <a:xfrm>
          <a:off x="514350" y="3248025"/>
          <a:ext cx="16478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152400</xdr:colOff>
      <xdr:row>16</xdr:row>
      <xdr:rowOff>66675</xdr:rowOff>
    </xdr:from>
    <xdr:to>
      <xdr:col>2</xdr:col>
      <xdr:colOff>152400</xdr:colOff>
      <xdr:row>18</xdr:row>
      <xdr:rowOff>76200</xdr:rowOff>
    </xdr:to>
    <xdr:sp>
      <xdr:nvSpPr>
        <xdr:cNvPr id="18" name="Line 18"/>
        <xdr:cNvSpPr>
          <a:spLocks/>
        </xdr:cNvSpPr>
      </xdr:nvSpPr>
      <xdr:spPr>
        <a:xfrm>
          <a:off x="981075" y="2876550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285750</xdr:colOff>
      <xdr:row>18</xdr:row>
      <xdr:rowOff>142875</xdr:rowOff>
    </xdr:from>
    <xdr:to>
      <xdr:col>1</xdr:col>
      <xdr:colOff>285750</xdr:colOff>
      <xdr:row>23</xdr:row>
      <xdr:rowOff>76200</xdr:rowOff>
    </xdr:to>
    <xdr:sp>
      <xdr:nvSpPr>
        <xdr:cNvPr id="19" name="Line 19"/>
        <xdr:cNvSpPr>
          <a:spLocks/>
        </xdr:cNvSpPr>
      </xdr:nvSpPr>
      <xdr:spPr>
        <a:xfrm>
          <a:off x="523875" y="33051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20</xdr:row>
      <xdr:rowOff>66675</xdr:rowOff>
    </xdr:from>
    <xdr:to>
      <xdr:col>4</xdr:col>
      <xdr:colOff>152400</xdr:colOff>
      <xdr:row>23</xdr:row>
      <xdr:rowOff>85725</xdr:rowOff>
    </xdr:to>
    <xdr:sp>
      <xdr:nvSpPr>
        <xdr:cNvPr id="20" name="Line 20"/>
        <xdr:cNvSpPr>
          <a:spLocks/>
        </xdr:cNvSpPr>
      </xdr:nvSpPr>
      <xdr:spPr>
        <a:xfrm>
          <a:off x="2162175" y="35623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285750</xdr:colOff>
      <xdr:row>22</xdr:row>
      <xdr:rowOff>47625</xdr:rowOff>
    </xdr:from>
    <xdr:to>
      <xdr:col>4</xdr:col>
      <xdr:colOff>152400</xdr:colOff>
      <xdr:row>22</xdr:row>
      <xdr:rowOff>47625</xdr:rowOff>
    </xdr:to>
    <xdr:sp>
      <xdr:nvSpPr>
        <xdr:cNvPr id="21" name="Line 21"/>
        <xdr:cNvSpPr>
          <a:spLocks/>
        </xdr:cNvSpPr>
      </xdr:nvSpPr>
      <xdr:spPr>
        <a:xfrm>
          <a:off x="523875" y="3867150"/>
          <a:ext cx="1638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16</xdr:row>
      <xdr:rowOff>133350</xdr:rowOff>
    </xdr:from>
    <xdr:to>
      <xdr:col>4</xdr:col>
      <xdr:colOff>152400</xdr:colOff>
      <xdr:row>20</xdr:row>
      <xdr:rowOff>9525</xdr:rowOff>
    </xdr:to>
    <xdr:sp>
      <xdr:nvSpPr>
        <xdr:cNvPr id="22" name="Line 22"/>
        <xdr:cNvSpPr>
          <a:spLocks/>
        </xdr:cNvSpPr>
      </xdr:nvSpPr>
      <xdr:spPr>
        <a:xfrm flipH="1">
          <a:off x="2162175" y="2943225"/>
          <a:ext cx="9525" cy="5619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16</xdr:row>
      <xdr:rowOff>123825</xdr:rowOff>
    </xdr:from>
    <xdr:to>
      <xdr:col>4</xdr:col>
      <xdr:colOff>257175</xdr:colOff>
      <xdr:row>17</xdr:row>
      <xdr:rowOff>38100</xdr:rowOff>
    </xdr:to>
    <xdr:sp>
      <xdr:nvSpPr>
        <xdr:cNvPr id="23" name="Line 23"/>
        <xdr:cNvSpPr>
          <a:spLocks/>
        </xdr:cNvSpPr>
      </xdr:nvSpPr>
      <xdr:spPr>
        <a:xfrm flipV="1">
          <a:off x="2181225" y="2933700"/>
          <a:ext cx="8572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17</xdr:row>
      <xdr:rowOff>28575</xdr:rowOff>
    </xdr:from>
    <xdr:to>
      <xdr:col>4</xdr:col>
      <xdr:colOff>276225</xdr:colOff>
      <xdr:row>17</xdr:row>
      <xdr:rowOff>133350</xdr:rowOff>
    </xdr:to>
    <xdr:sp>
      <xdr:nvSpPr>
        <xdr:cNvPr id="24" name="Line 24"/>
        <xdr:cNvSpPr>
          <a:spLocks/>
        </xdr:cNvSpPr>
      </xdr:nvSpPr>
      <xdr:spPr>
        <a:xfrm flipV="1">
          <a:off x="2190750" y="3009900"/>
          <a:ext cx="952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17</xdr:row>
      <xdr:rowOff>104775</xdr:rowOff>
    </xdr:from>
    <xdr:to>
      <xdr:col>4</xdr:col>
      <xdr:colOff>266700</xdr:colOff>
      <xdr:row>18</xdr:row>
      <xdr:rowOff>19050</xdr:rowOff>
    </xdr:to>
    <xdr:sp>
      <xdr:nvSpPr>
        <xdr:cNvPr id="25" name="Line 25"/>
        <xdr:cNvSpPr>
          <a:spLocks/>
        </xdr:cNvSpPr>
      </xdr:nvSpPr>
      <xdr:spPr>
        <a:xfrm flipV="1">
          <a:off x="2190750" y="3086100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19</xdr:row>
      <xdr:rowOff>66675</xdr:rowOff>
    </xdr:from>
    <xdr:to>
      <xdr:col>4</xdr:col>
      <xdr:colOff>266700</xdr:colOff>
      <xdr:row>19</xdr:row>
      <xdr:rowOff>161925</xdr:rowOff>
    </xdr:to>
    <xdr:sp>
      <xdr:nvSpPr>
        <xdr:cNvPr id="26" name="Line 26"/>
        <xdr:cNvSpPr>
          <a:spLocks/>
        </xdr:cNvSpPr>
      </xdr:nvSpPr>
      <xdr:spPr>
        <a:xfrm flipV="1">
          <a:off x="2181225" y="3400425"/>
          <a:ext cx="952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18</xdr:row>
      <xdr:rowOff>19050</xdr:rowOff>
    </xdr:from>
    <xdr:to>
      <xdr:col>4</xdr:col>
      <xdr:colOff>266700</xdr:colOff>
      <xdr:row>18</xdr:row>
      <xdr:rowOff>123825</xdr:rowOff>
    </xdr:to>
    <xdr:sp>
      <xdr:nvSpPr>
        <xdr:cNvPr id="27" name="Line 27"/>
        <xdr:cNvSpPr>
          <a:spLocks/>
        </xdr:cNvSpPr>
      </xdr:nvSpPr>
      <xdr:spPr>
        <a:xfrm flipV="1">
          <a:off x="2181225" y="3181350"/>
          <a:ext cx="952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19</xdr:row>
      <xdr:rowOff>76200</xdr:rowOff>
    </xdr:from>
    <xdr:to>
      <xdr:col>4</xdr:col>
      <xdr:colOff>247650</xdr:colOff>
      <xdr:row>20</xdr:row>
      <xdr:rowOff>0</xdr:rowOff>
    </xdr:to>
    <xdr:sp>
      <xdr:nvSpPr>
        <xdr:cNvPr id="28" name="Line 28"/>
        <xdr:cNvSpPr>
          <a:spLocks/>
        </xdr:cNvSpPr>
      </xdr:nvSpPr>
      <xdr:spPr>
        <a:xfrm flipV="1">
          <a:off x="2162175" y="3409950"/>
          <a:ext cx="952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18</xdr:row>
      <xdr:rowOff>123825</xdr:rowOff>
    </xdr:from>
    <xdr:to>
      <xdr:col>4</xdr:col>
      <xdr:colOff>257175</xdr:colOff>
      <xdr:row>19</xdr:row>
      <xdr:rowOff>47625</xdr:rowOff>
    </xdr:to>
    <xdr:sp>
      <xdr:nvSpPr>
        <xdr:cNvPr id="29" name="Line 29"/>
        <xdr:cNvSpPr>
          <a:spLocks/>
        </xdr:cNvSpPr>
      </xdr:nvSpPr>
      <xdr:spPr>
        <a:xfrm flipV="1">
          <a:off x="2181225" y="3286125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285750</xdr:colOff>
      <xdr:row>16</xdr:row>
      <xdr:rowOff>66675</xdr:rowOff>
    </xdr:from>
    <xdr:to>
      <xdr:col>1</xdr:col>
      <xdr:colOff>285750</xdr:colOff>
      <xdr:row>18</xdr:row>
      <xdr:rowOff>76200</xdr:rowOff>
    </xdr:to>
    <xdr:sp>
      <xdr:nvSpPr>
        <xdr:cNvPr id="30" name="Line 30"/>
        <xdr:cNvSpPr>
          <a:spLocks/>
        </xdr:cNvSpPr>
      </xdr:nvSpPr>
      <xdr:spPr>
        <a:xfrm>
          <a:off x="523875" y="2876550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485775</xdr:colOff>
      <xdr:row>16</xdr:row>
      <xdr:rowOff>66675</xdr:rowOff>
    </xdr:from>
    <xdr:to>
      <xdr:col>1</xdr:col>
      <xdr:colOff>485775</xdr:colOff>
      <xdr:row>18</xdr:row>
      <xdr:rowOff>76200</xdr:rowOff>
    </xdr:to>
    <xdr:sp>
      <xdr:nvSpPr>
        <xdr:cNvPr id="31" name="Line 31"/>
        <xdr:cNvSpPr>
          <a:spLocks/>
        </xdr:cNvSpPr>
      </xdr:nvSpPr>
      <xdr:spPr>
        <a:xfrm>
          <a:off x="723900" y="2876550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400050</xdr:colOff>
      <xdr:row>16</xdr:row>
      <xdr:rowOff>66675</xdr:rowOff>
    </xdr:from>
    <xdr:to>
      <xdr:col>2</xdr:col>
      <xdr:colOff>400050</xdr:colOff>
      <xdr:row>18</xdr:row>
      <xdr:rowOff>76200</xdr:rowOff>
    </xdr:to>
    <xdr:sp>
      <xdr:nvSpPr>
        <xdr:cNvPr id="32" name="Line 32"/>
        <xdr:cNvSpPr>
          <a:spLocks/>
        </xdr:cNvSpPr>
      </xdr:nvSpPr>
      <xdr:spPr>
        <a:xfrm>
          <a:off x="1228725" y="2876550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16</xdr:row>
      <xdr:rowOff>57150</xdr:rowOff>
    </xdr:from>
    <xdr:to>
      <xdr:col>3</xdr:col>
      <xdr:colOff>28575</xdr:colOff>
      <xdr:row>18</xdr:row>
      <xdr:rowOff>66675</xdr:rowOff>
    </xdr:to>
    <xdr:sp>
      <xdr:nvSpPr>
        <xdr:cNvPr id="33" name="Line 33"/>
        <xdr:cNvSpPr>
          <a:spLocks/>
        </xdr:cNvSpPr>
      </xdr:nvSpPr>
      <xdr:spPr>
        <a:xfrm>
          <a:off x="1447800" y="2867025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16</xdr:row>
      <xdr:rowOff>57150</xdr:rowOff>
    </xdr:from>
    <xdr:to>
      <xdr:col>3</xdr:col>
      <xdr:colOff>276225</xdr:colOff>
      <xdr:row>18</xdr:row>
      <xdr:rowOff>66675</xdr:rowOff>
    </xdr:to>
    <xdr:sp>
      <xdr:nvSpPr>
        <xdr:cNvPr id="34" name="Line 34"/>
        <xdr:cNvSpPr>
          <a:spLocks/>
        </xdr:cNvSpPr>
      </xdr:nvSpPr>
      <xdr:spPr>
        <a:xfrm>
          <a:off x="1695450" y="2867025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504825</xdr:colOff>
      <xdr:row>16</xdr:row>
      <xdr:rowOff>57150</xdr:rowOff>
    </xdr:from>
    <xdr:to>
      <xdr:col>3</xdr:col>
      <xdr:colOff>504825</xdr:colOff>
      <xdr:row>18</xdr:row>
      <xdr:rowOff>66675</xdr:rowOff>
    </xdr:to>
    <xdr:sp>
      <xdr:nvSpPr>
        <xdr:cNvPr id="35" name="Line 35"/>
        <xdr:cNvSpPr>
          <a:spLocks/>
        </xdr:cNvSpPr>
      </xdr:nvSpPr>
      <xdr:spPr>
        <a:xfrm>
          <a:off x="1924050" y="2867025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114300</xdr:colOff>
      <xdr:row>16</xdr:row>
      <xdr:rowOff>57150</xdr:rowOff>
    </xdr:from>
    <xdr:to>
      <xdr:col>4</xdr:col>
      <xdr:colOff>114300</xdr:colOff>
      <xdr:row>18</xdr:row>
      <xdr:rowOff>66675</xdr:rowOff>
    </xdr:to>
    <xdr:sp>
      <xdr:nvSpPr>
        <xdr:cNvPr id="36" name="Line 36"/>
        <xdr:cNvSpPr>
          <a:spLocks/>
        </xdr:cNvSpPr>
      </xdr:nvSpPr>
      <xdr:spPr>
        <a:xfrm>
          <a:off x="2124075" y="2867025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285750</xdr:colOff>
      <xdr:row>16</xdr:row>
      <xdr:rowOff>57150</xdr:rowOff>
    </xdr:from>
    <xdr:to>
      <xdr:col>4</xdr:col>
      <xdr:colOff>114300</xdr:colOff>
      <xdr:row>16</xdr:row>
      <xdr:rowOff>66675</xdr:rowOff>
    </xdr:to>
    <xdr:sp>
      <xdr:nvSpPr>
        <xdr:cNvPr id="37" name="Line 37"/>
        <xdr:cNvSpPr>
          <a:spLocks/>
        </xdr:cNvSpPr>
      </xdr:nvSpPr>
      <xdr:spPr>
        <a:xfrm flipV="1">
          <a:off x="523875" y="2867025"/>
          <a:ext cx="16002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34</xdr:row>
      <xdr:rowOff>85725</xdr:rowOff>
    </xdr:from>
    <xdr:to>
      <xdr:col>4</xdr:col>
      <xdr:colOff>152400</xdr:colOff>
      <xdr:row>34</xdr:row>
      <xdr:rowOff>85725</xdr:rowOff>
    </xdr:to>
    <xdr:sp>
      <xdr:nvSpPr>
        <xdr:cNvPr id="38" name="Line 61"/>
        <xdr:cNvSpPr>
          <a:spLocks/>
        </xdr:cNvSpPr>
      </xdr:nvSpPr>
      <xdr:spPr>
        <a:xfrm>
          <a:off x="514350" y="6019800"/>
          <a:ext cx="16478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152400</xdr:colOff>
      <xdr:row>32</xdr:row>
      <xdr:rowOff>66675</xdr:rowOff>
    </xdr:from>
    <xdr:to>
      <xdr:col>2</xdr:col>
      <xdr:colOff>152400</xdr:colOff>
      <xdr:row>34</xdr:row>
      <xdr:rowOff>76200</xdr:rowOff>
    </xdr:to>
    <xdr:sp>
      <xdr:nvSpPr>
        <xdr:cNvPr id="39" name="Line 62"/>
        <xdr:cNvSpPr>
          <a:spLocks/>
        </xdr:cNvSpPr>
      </xdr:nvSpPr>
      <xdr:spPr>
        <a:xfrm>
          <a:off x="981075" y="5648325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285750</xdr:colOff>
      <xdr:row>34</xdr:row>
      <xdr:rowOff>142875</xdr:rowOff>
    </xdr:from>
    <xdr:to>
      <xdr:col>1</xdr:col>
      <xdr:colOff>285750</xdr:colOff>
      <xdr:row>39</xdr:row>
      <xdr:rowOff>76200</xdr:rowOff>
    </xdr:to>
    <xdr:sp>
      <xdr:nvSpPr>
        <xdr:cNvPr id="40" name="Line 63"/>
        <xdr:cNvSpPr>
          <a:spLocks/>
        </xdr:cNvSpPr>
      </xdr:nvSpPr>
      <xdr:spPr>
        <a:xfrm>
          <a:off x="523875" y="60769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36</xdr:row>
      <xdr:rowOff>66675</xdr:rowOff>
    </xdr:from>
    <xdr:to>
      <xdr:col>4</xdr:col>
      <xdr:colOff>152400</xdr:colOff>
      <xdr:row>39</xdr:row>
      <xdr:rowOff>85725</xdr:rowOff>
    </xdr:to>
    <xdr:sp>
      <xdr:nvSpPr>
        <xdr:cNvPr id="41" name="Line 64"/>
        <xdr:cNvSpPr>
          <a:spLocks/>
        </xdr:cNvSpPr>
      </xdr:nvSpPr>
      <xdr:spPr>
        <a:xfrm>
          <a:off x="2162175" y="63341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285750</xdr:colOff>
      <xdr:row>39</xdr:row>
      <xdr:rowOff>19050</xdr:rowOff>
    </xdr:from>
    <xdr:to>
      <xdr:col>4</xdr:col>
      <xdr:colOff>152400</xdr:colOff>
      <xdr:row>39</xdr:row>
      <xdr:rowOff>19050</xdr:rowOff>
    </xdr:to>
    <xdr:sp>
      <xdr:nvSpPr>
        <xdr:cNvPr id="42" name="Line 65"/>
        <xdr:cNvSpPr>
          <a:spLocks/>
        </xdr:cNvSpPr>
      </xdr:nvSpPr>
      <xdr:spPr>
        <a:xfrm>
          <a:off x="523875" y="6781800"/>
          <a:ext cx="1638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32</xdr:row>
      <xdr:rowOff>133350</xdr:rowOff>
    </xdr:from>
    <xdr:to>
      <xdr:col>4</xdr:col>
      <xdr:colOff>152400</xdr:colOff>
      <xdr:row>36</xdr:row>
      <xdr:rowOff>9525</xdr:rowOff>
    </xdr:to>
    <xdr:sp>
      <xdr:nvSpPr>
        <xdr:cNvPr id="43" name="Line 66"/>
        <xdr:cNvSpPr>
          <a:spLocks/>
        </xdr:cNvSpPr>
      </xdr:nvSpPr>
      <xdr:spPr>
        <a:xfrm flipH="1">
          <a:off x="2162175" y="5715000"/>
          <a:ext cx="9525" cy="5619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32</xdr:row>
      <xdr:rowOff>123825</xdr:rowOff>
    </xdr:from>
    <xdr:to>
      <xdr:col>4</xdr:col>
      <xdr:colOff>257175</xdr:colOff>
      <xdr:row>33</xdr:row>
      <xdr:rowOff>38100</xdr:rowOff>
    </xdr:to>
    <xdr:sp>
      <xdr:nvSpPr>
        <xdr:cNvPr id="44" name="Line 67"/>
        <xdr:cNvSpPr>
          <a:spLocks/>
        </xdr:cNvSpPr>
      </xdr:nvSpPr>
      <xdr:spPr>
        <a:xfrm flipV="1">
          <a:off x="2181225" y="5705475"/>
          <a:ext cx="8572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33</xdr:row>
      <xdr:rowOff>28575</xdr:rowOff>
    </xdr:from>
    <xdr:to>
      <xdr:col>4</xdr:col>
      <xdr:colOff>276225</xdr:colOff>
      <xdr:row>33</xdr:row>
      <xdr:rowOff>133350</xdr:rowOff>
    </xdr:to>
    <xdr:sp>
      <xdr:nvSpPr>
        <xdr:cNvPr id="45" name="Line 68"/>
        <xdr:cNvSpPr>
          <a:spLocks/>
        </xdr:cNvSpPr>
      </xdr:nvSpPr>
      <xdr:spPr>
        <a:xfrm flipV="1">
          <a:off x="2190750" y="5781675"/>
          <a:ext cx="952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33</xdr:row>
      <xdr:rowOff>104775</xdr:rowOff>
    </xdr:from>
    <xdr:to>
      <xdr:col>4</xdr:col>
      <xdr:colOff>266700</xdr:colOff>
      <xdr:row>34</xdr:row>
      <xdr:rowOff>19050</xdr:rowOff>
    </xdr:to>
    <xdr:sp>
      <xdr:nvSpPr>
        <xdr:cNvPr id="46" name="Line 69"/>
        <xdr:cNvSpPr>
          <a:spLocks/>
        </xdr:cNvSpPr>
      </xdr:nvSpPr>
      <xdr:spPr>
        <a:xfrm flipV="1">
          <a:off x="2190750" y="5857875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35</xdr:row>
      <xdr:rowOff>66675</xdr:rowOff>
    </xdr:from>
    <xdr:to>
      <xdr:col>4</xdr:col>
      <xdr:colOff>266700</xdr:colOff>
      <xdr:row>35</xdr:row>
      <xdr:rowOff>161925</xdr:rowOff>
    </xdr:to>
    <xdr:sp>
      <xdr:nvSpPr>
        <xdr:cNvPr id="47" name="Line 70"/>
        <xdr:cNvSpPr>
          <a:spLocks/>
        </xdr:cNvSpPr>
      </xdr:nvSpPr>
      <xdr:spPr>
        <a:xfrm flipV="1">
          <a:off x="2181225" y="6172200"/>
          <a:ext cx="952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34</xdr:row>
      <xdr:rowOff>19050</xdr:rowOff>
    </xdr:from>
    <xdr:to>
      <xdr:col>4</xdr:col>
      <xdr:colOff>266700</xdr:colOff>
      <xdr:row>34</xdr:row>
      <xdr:rowOff>123825</xdr:rowOff>
    </xdr:to>
    <xdr:sp>
      <xdr:nvSpPr>
        <xdr:cNvPr id="48" name="Line 71"/>
        <xdr:cNvSpPr>
          <a:spLocks/>
        </xdr:cNvSpPr>
      </xdr:nvSpPr>
      <xdr:spPr>
        <a:xfrm flipV="1">
          <a:off x="2181225" y="5953125"/>
          <a:ext cx="952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35</xdr:row>
      <xdr:rowOff>76200</xdr:rowOff>
    </xdr:from>
    <xdr:to>
      <xdr:col>4</xdr:col>
      <xdr:colOff>247650</xdr:colOff>
      <xdr:row>36</xdr:row>
      <xdr:rowOff>0</xdr:rowOff>
    </xdr:to>
    <xdr:sp>
      <xdr:nvSpPr>
        <xdr:cNvPr id="49" name="Line 72"/>
        <xdr:cNvSpPr>
          <a:spLocks/>
        </xdr:cNvSpPr>
      </xdr:nvSpPr>
      <xdr:spPr>
        <a:xfrm flipV="1">
          <a:off x="2162175" y="6181725"/>
          <a:ext cx="952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34</xdr:row>
      <xdr:rowOff>123825</xdr:rowOff>
    </xdr:from>
    <xdr:to>
      <xdr:col>4</xdr:col>
      <xdr:colOff>257175</xdr:colOff>
      <xdr:row>35</xdr:row>
      <xdr:rowOff>47625</xdr:rowOff>
    </xdr:to>
    <xdr:sp>
      <xdr:nvSpPr>
        <xdr:cNvPr id="50" name="Line 73"/>
        <xdr:cNvSpPr>
          <a:spLocks/>
        </xdr:cNvSpPr>
      </xdr:nvSpPr>
      <xdr:spPr>
        <a:xfrm flipV="1">
          <a:off x="2181225" y="6057900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285750</xdr:colOff>
      <xdr:row>32</xdr:row>
      <xdr:rowOff>66675</xdr:rowOff>
    </xdr:from>
    <xdr:to>
      <xdr:col>1</xdr:col>
      <xdr:colOff>285750</xdr:colOff>
      <xdr:row>34</xdr:row>
      <xdr:rowOff>76200</xdr:rowOff>
    </xdr:to>
    <xdr:sp>
      <xdr:nvSpPr>
        <xdr:cNvPr id="51" name="Line 74"/>
        <xdr:cNvSpPr>
          <a:spLocks/>
        </xdr:cNvSpPr>
      </xdr:nvSpPr>
      <xdr:spPr>
        <a:xfrm>
          <a:off x="523875" y="5648325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485775</xdr:colOff>
      <xdr:row>32</xdr:row>
      <xdr:rowOff>66675</xdr:rowOff>
    </xdr:from>
    <xdr:to>
      <xdr:col>1</xdr:col>
      <xdr:colOff>485775</xdr:colOff>
      <xdr:row>34</xdr:row>
      <xdr:rowOff>76200</xdr:rowOff>
    </xdr:to>
    <xdr:sp>
      <xdr:nvSpPr>
        <xdr:cNvPr id="52" name="Line 75"/>
        <xdr:cNvSpPr>
          <a:spLocks/>
        </xdr:cNvSpPr>
      </xdr:nvSpPr>
      <xdr:spPr>
        <a:xfrm>
          <a:off x="723900" y="5648325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400050</xdr:colOff>
      <xdr:row>32</xdr:row>
      <xdr:rowOff>66675</xdr:rowOff>
    </xdr:from>
    <xdr:to>
      <xdr:col>2</xdr:col>
      <xdr:colOff>400050</xdr:colOff>
      <xdr:row>34</xdr:row>
      <xdr:rowOff>76200</xdr:rowOff>
    </xdr:to>
    <xdr:sp>
      <xdr:nvSpPr>
        <xdr:cNvPr id="53" name="Line 76"/>
        <xdr:cNvSpPr>
          <a:spLocks/>
        </xdr:cNvSpPr>
      </xdr:nvSpPr>
      <xdr:spPr>
        <a:xfrm>
          <a:off x="1228725" y="5648325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32</xdr:row>
      <xdr:rowOff>57150</xdr:rowOff>
    </xdr:from>
    <xdr:to>
      <xdr:col>3</xdr:col>
      <xdr:colOff>28575</xdr:colOff>
      <xdr:row>34</xdr:row>
      <xdr:rowOff>66675</xdr:rowOff>
    </xdr:to>
    <xdr:sp>
      <xdr:nvSpPr>
        <xdr:cNvPr id="54" name="Line 77"/>
        <xdr:cNvSpPr>
          <a:spLocks/>
        </xdr:cNvSpPr>
      </xdr:nvSpPr>
      <xdr:spPr>
        <a:xfrm>
          <a:off x="1447800" y="5638800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32</xdr:row>
      <xdr:rowOff>57150</xdr:rowOff>
    </xdr:from>
    <xdr:to>
      <xdr:col>3</xdr:col>
      <xdr:colOff>276225</xdr:colOff>
      <xdr:row>34</xdr:row>
      <xdr:rowOff>66675</xdr:rowOff>
    </xdr:to>
    <xdr:sp>
      <xdr:nvSpPr>
        <xdr:cNvPr id="55" name="Line 78"/>
        <xdr:cNvSpPr>
          <a:spLocks/>
        </xdr:cNvSpPr>
      </xdr:nvSpPr>
      <xdr:spPr>
        <a:xfrm>
          <a:off x="1695450" y="5638800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504825</xdr:colOff>
      <xdr:row>32</xdr:row>
      <xdr:rowOff>57150</xdr:rowOff>
    </xdr:from>
    <xdr:to>
      <xdr:col>3</xdr:col>
      <xdr:colOff>504825</xdr:colOff>
      <xdr:row>34</xdr:row>
      <xdr:rowOff>66675</xdr:rowOff>
    </xdr:to>
    <xdr:sp>
      <xdr:nvSpPr>
        <xdr:cNvPr id="56" name="Line 79"/>
        <xdr:cNvSpPr>
          <a:spLocks/>
        </xdr:cNvSpPr>
      </xdr:nvSpPr>
      <xdr:spPr>
        <a:xfrm>
          <a:off x="1924050" y="5638800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485775</xdr:colOff>
      <xdr:row>34</xdr:row>
      <xdr:rowOff>152400</xdr:rowOff>
    </xdr:from>
    <xdr:to>
      <xdr:col>1</xdr:col>
      <xdr:colOff>485775</xdr:colOff>
      <xdr:row>37</xdr:row>
      <xdr:rowOff>85725</xdr:rowOff>
    </xdr:to>
    <xdr:sp>
      <xdr:nvSpPr>
        <xdr:cNvPr id="57" name="Line 83"/>
        <xdr:cNvSpPr>
          <a:spLocks/>
        </xdr:cNvSpPr>
      </xdr:nvSpPr>
      <xdr:spPr>
        <a:xfrm>
          <a:off x="723900" y="608647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152400</xdr:colOff>
      <xdr:row>34</xdr:row>
      <xdr:rowOff>152400</xdr:rowOff>
    </xdr:from>
    <xdr:to>
      <xdr:col>2</xdr:col>
      <xdr:colOff>152400</xdr:colOff>
      <xdr:row>37</xdr:row>
      <xdr:rowOff>76200</xdr:rowOff>
    </xdr:to>
    <xdr:sp>
      <xdr:nvSpPr>
        <xdr:cNvPr id="58" name="Line 84"/>
        <xdr:cNvSpPr>
          <a:spLocks/>
        </xdr:cNvSpPr>
      </xdr:nvSpPr>
      <xdr:spPr>
        <a:xfrm>
          <a:off x="981075" y="6086475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400050</xdr:colOff>
      <xdr:row>34</xdr:row>
      <xdr:rowOff>161925</xdr:rowOff>
    </xdr:from>
    <xdr:to>
      <xdr:col>2</xdr:col>
      <xdr:colOff>400050</xdr:colOff>
      <xdr:row>37</xdr:row>
      <xdr:rowOff>85725</xdr:rowOff>
    </xdr:to>
    <xdr:sp>
      <xdr:nvSpPr>
        <xdr:cNvPr id="59" name="Line 85"/>
        <xdr:cNvSpPr>
          <a:spLocks/>
        </xdr:cNvSpPr>
      </xdr:nvSpPr>
      <xdr:spPr>
        <a:xfrm>
          <a:off x="1228725" y="6096000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34</xdr:row>
      <xdr:rowOff>161925</xdr:rowOff>
    </xdr:from>
    <xdr:to>
      <xdr:col>3</xdr:col>
      <xdr:colOff>28575</xdr:colOff>
      <xdr:row>37</xdr:row>
      <xdr:rowOff>85725</xdr:rowOff>
    </xdr:to>
    <xdr:sp>
      <xdr:nvSpPr>
        <xdr:cNvPr id="60" name="Line 86"/>
        <xdr:cNvSpPr>
          <a:spLocks/>
        </xdr:cNvSpPr>
      </xdr:nvSpPr>
      <xdr:spPr>
        <a:xfrm flipH="1">
          <a:off x="1438275" y="6096000"/>
          <a:ext cx="952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34</xdr:row>
      <xdr:rowOff>152400</xdr:rowOff>
    </xdr:from>
    <xdr:to>
      <xdr:col>3</xdr:col>
      <xdr:colOff>276225</xdr:colOff>
      <xdr:row>37</xdr:row>
      <xdr:rowOff>76200</xdr:rowOff>
    </xdr:to>
    <xdr:sp>
      <xdr:nvSpPr>
        <xdr:cNvPr id="61" name="Line 87"/>
        <xdr:cNvSpPr>
          <a:spLocks/>
        </xdr:cNvSpPr>
      </xdr:nvSpPr>
      <xdr:spPr>
        <a:xfrm>
          <a:off x="1695450" y="6086475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504825</xdr:colOff>
      <xdr:row>34</xdr:row>
      <xdr:rowOff>152400</xdr:rowOff>
    </xdr:from>
    <xdr:to>
      <xdr:col>3</xdr:col>
      <xdr:colOff>504825</xdr:colOff>
      <xdr:row>37</xdr:row>
      <xdr:rowOff>76200</xdr:rowOff>
    </xdr:to>
    <xdr:sp>
      <xdr:nvSpPr>
        <xdr:cNvPr id="62" name="Line 88"/>
        <xdr:cNvSpPr>
          <a:spLocks/>
        </xdr:cNvSpPr>
      </xdr:nvSpPr>
      <xdr:spPr>
        <a:xfrm>
          <a:off x="1924050" y="6086475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285750</xdr:colOff>
      <xdr:row>37</xdr:row>
      <xdr:rowOff>28575</xdr:rowOff>
    </xdr:from>
    <xdr:to>
      <xdr:col>1</xdr:col>
      <xdr:colOff>495300</xdr:colOff>
      <xdr:row>37</xdr:row>
      <xdr:rowOff>28575</xdr:rowOff>
    </xdr:to>
    <xdr:sp>
      <xdr:nvSpPr>
        <xdr:cNvPr id="63" name="Line 90"/>
        <xdr:cNvSpPr>
          <a:spLocks/>
        </xdr:cNvSpPr>
      </xdr:nvSpPr>
      <xdr:spPr>
        <a:xfrm>
          <a:off x="523875" y="64579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485775</xdr:colOff>
      <xdr:row>37</xdr:row>
      <xdr:rowOff>28575</xdr:rowOff>
    </xdr:from>
    <xdr:to>
      <xdr:col>2</xdr:col>
      <xdr:colOff>152400</xdr:colOff>
      <xdr:row>37</xdr:row>
      <xdr:rowOff>28575</xdr:rowOff>
    </xdr:to>
    <xdr:sp>
      <xdr:nvSpPr>
        <xdr:cNvPr id="64" name="Line 91"/>
        <xdr:cNvSpPr>
          <a:spLocks/>
        </xdr:cNvSpPr>
      </xdr:nvSpPr>
      <xdr:spPr>
        <a:xfrm>
          <a:off x="723900" y="64579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152400</xdr:colOff>
      <xdr:row>37</xdr:row>
      <xdr:rowOff>28575</xdr:rowOff>
    </xdr:from>
    <xdr:to>
      <xdr:col>2</xdr:col>
      <xdr:colOff>390525</xdr:colOff>
      <xdr:row>37</xdr:row>
      <xdr:rowOff>28575</xdr:rowOff>
    </xdr:to>
    <xdr:sp>
      <xdr:nvSpPr>
        <xdr:cNvPr id="65" name="Line 92"/>
        <xdr:cNvSpPr>
          <a:spLocks/>
        </xdr:cNvSpPr>
      </xdr:nvSpPr>
      <xdr:spPr>
        <a:xfrm>
          <a:off x="981075" y="645795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390525</xdr:colOff>
      <xdr:row>37</xdr:row>
      <xdr:rowOff>28575</xdr:rowOff>
    </xdr:from>
    <xdr:to>
      <xdr:col>3</xdr:col>
      <xdr:colOff>38100</xdr:colOff>
      <xdr:row>37</xdr:row>
      <xdr:rowOff>28575</xdr:rowOff>
    </xdr:to>
    <xdr:sp>
      <xdr:nvSpPr>
        <xdr:cNvPr id="66" name="Line 93"/>
        <xdr:cNvSpPr>
          <a:spLocks/>
        </xdr:cNvSpPr>
      </xdr:nvSpPr>
      <xdr:spPr>
        <a:xfrm>
          <a:off x="1219200" y="64579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37</xdr:row>
      <xdr:rowOff>28575</xdr:rowOff>
    </xdr:from>
    <xdr:to>
      <xdr:col>3</xdr:col>
      <xdr:colOff>276225</xdr:colOff>
      <xdr:row>37</xdr:row>
      <xdr:rowOff>28575</xdr:rowOff>
    </xdr:to>
    <xdr:sp>
      <xdr:nvSpPr>
        <xdr:cNvPr id="67" name="Line 94"/>
        <xdr:cNvSpPr>
          <a:spLocks/>
        </xdr:cNvSpPr>
      </xdr:nvSpPr>
      <xdr:spPr>
        <a:xfrm>
          <a:off x="1438275" y="645795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266700</xdr:colOff>
      <xdr:row>37</xdr:row>
      <xdr:rowOff>38100</xdr:rowOff>
    </xdr:from>
    <xdr:to>
      <xdr:col>3</xdr:col>
      <xdr:colOff>504825</xdr:colOff>
      <xdr:row>37</xdr:row>
      <xdr:rowOff>38100</xdr:rowOff>
    </xdr:to>
    <xdr:sp>
      <xdr:nvSpPr>
        <xdr:cNvPr id="68" name="Line 95"/>
        <xdr:cNvSpPr>
          <a:spLocks/>
        </xdr:cNvSpPr>
      </xdr:nvSpPr>
      <xdr:spPr>
        <a:xfrm>
          <a:off x="1685925" y="646747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514350</xdr:colOff>
      <xdr:row>37</xdr:row>
      <xdr:rowOff>38100</xdr:rowOff>
    </xdr:from>
    <xdr:to>
      <xdr:col>4</xdr:col>
      <xdr:colOff>171450</xdr:colOff>
      <xdr:row>37</xdr:row>
      <xdr:rowOff>38100</xdr:rowOff>
    </xdr:to>
    <xdr:sp>
      <xdr:nvSpPr>
        <xdr:cNvPr id="69" name="Line 96"/>
        <xdr:cNvSpPr>
          <a:spLocks/>
        </xdr:cNvSpPr>
      </xdr:nvSpPr>
      <xdr:spPr>
        <a:xfrm>
          <a:off x="1933575" y="646747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47</xdr:row>
      <xdr:rowOff>85725</xdr:rowOff>
    </xdr:from>
    <xdr:to>
      <xdr:col>4</xdr:col>
      <xdr:colOff>152400</xdr:colOff>
      <xdr:row>47</xdr:row>
      <xdr:rowOff>85725</xdr:rowOff>
    </xdr:to>
    <xdr:sp>
      <xdr:nvSpPr>
        <xdr:cNvPr id="70" name="Line 97"/>
        <xdr:cNvSpPr>
          <a:spLocks/>
        </xdr:cNvSpPr>
      </xdr:nvSpPr>
      <xdr:spPr>
        <a:xfrm>
          <a:off x="514350" y="8296275"/>
          <a:ext cx="16478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152400</xdr:colOff>
      <xdr:row>46</xdr:row>
      <xdr:rowOff>104775</xdr:rowOff>
    </xdr:from>
    <xdr:to>
      <xdr:col>2</xdr:col>
      <xdr:colOff>152400</xdr:colOff>
      <xdr:row>47</xdr:row>
      <xdr:rowOff>76200</xdr:rowOff>
    </xdr:to>
    <xdr:sp>
      <xdr:nvSpPr>
        <xdr:cNvPr id="71" name="Line 98"/>
        <xdr:cNvSpPr>
          <a:spLocks/>
        </xdr:cNvSpPr>
      </xdr:nvSpPr>
      <xdr:spPr>
        <a:xfrm>
          <a:off x="981075" y="81343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285750</xdr:colOff>
      <xdr:row>47</xdr:row>
      <xdr:rowOff>142875</xdr:rowOff>
    </xdr:from>
    <xdr:to>
      <xdr:col>1</xdr:col>
      <xdr:colOff>285750</xdr:colOff>
      <xdr:row>50</xdr:row>
      <xdr:rowOff>152400</xdr:rowOff>
    </xdr:to>
    <xdr:sp>
      <xdr:nvSpPr>
        <xdr:cNvPr id="72" name="Line 99"/>
        <xdr:cNvSpPr>
          <a:spLocks/>
        </xdr:cNvSpPr>
      </xdr:nvSpPr>
      <xdr:spPr>
        <a:xfrm>
          <a:off x="523875" y="83534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49</xdr:row>
      <xdr:rowOff>57150</xdr:rowOff>
    </xdr:from>
    <xdr:to>
      <xdr:col>4</xdr:col>
      <xdr:colOff>152400</xdr:colOff>
      <xdr:row>50</xdr:row>
      <xdr:rowOff>152400</xdr:rowOff>
    </xdr:to>
    <xdr:sp>
      <xdr:nvSpPr>
        <xdr:cNvPr id="73" name="Line 100"/>
        <xdr:cNvSpPr>
          <a:spLocks/>
        </xdr:cNvSpPr>
      </xdr:nvSpPr>
      <xdr:spPr>
        <a:xfrm>
          <a:off x="2162175" y="86010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295275</xdr:colOff>
      <xdr:row>50</xdr:row>
      <xdr:rowOff>38100</xdr:rowOff>
    </xdr:from>
    <xdr:to>
      <xdr:col>4</xdr:col>
      <xdr:colOff>152400</xdr:colOff>
      <xdr:row>50</xdr:row>
      <xdr:rowOff>38100</xdr:rowOff>
    </xdr:to>
    <xdr:sp>
      <xdr:nvSpPr>
        <xdr:cNvPr id="74" name="Line 101"/>
        <xdr:cNvSpPr>
          <a:spLocks/>
        </xdr:cNvSpPr>
      </xdr:nvSpPr>
      <xdr:spPr>
        <a:xfrm>
          <a:off x="533400" y="8753475"/>
          <a:ext cx="1628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45</xdr:row>
      <xdr:rowOff>133350</xdr:rowOff>
    </xdr:from>
    <xdr:to>
      <xdr:col>4</xdr:col>
      <xdr:colOff>152400</xdr:colOff>
      <xdr:row>49</xdr:row>
      <xdr:rowOff>9525</xdr:rowOff>
    </xdr:to>
    <xdr:sp>
      <xdr:nvSpPr>
        <xdr:cNvPr id="75" name="Line 102"/>
        <xdr:cNvSpPr>
          <a:spLocks/>
        </xdr:cNvSpPr>
      </xdr:nvSpPr>
      <xdr:spPr>
        <a:xfrm flipH="1">
          <a:off x="2162175" y="7991475"/>
          <a:ext cx="9525" cy="5619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45</xdr:row>
      <xdr:rowOff>123825</xdr:rowOff>
    </xdr:from>
    <xdr:to>
      <xdr:col>4</xdr:col>
      <xdr:colOff>257175</xdr:colOff>
      <xdr:row>46</xdr:row>
      <xdr:rowOff>38100</xdr:rowOff>
    </xdr:to>
    <xdr:sp>
      <xdr:nvSpPr>
        <xdr:cNvPr id="76" name="Line 103"/>
        <xdr:cNvSpPr>
          <a:spLocks/>
        </xdr:cNvSpPr>
      </xdr:nvSpPr>
      <xdr:spPr>
        <a:xfrm flipV="1">
          <a:off x="2181225" y="7981950"/>
          <a:ext cx="8572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46</xdr:row>
      <xdr:rowOff>28575</xdr:rowOff>
    </xdr:from>
    <xdr:to>
      <xdr:col>4</xdr:col>
      <xdr:colOff>276225</xdr:colOff>
      <xdr:row>46</xdr:row>
      <xdr:rowOff>133350</xdr:rowOff>
    </xdr:to>
    <xdr:sp>
      <xdr:nvSpPr>
        <xdr:cNvPr id="77" name="Line 104"/>
        <xdr:cNvSpPr>
          <a:spLocks/>
        </xdr:cNvSpPr>
      </xdr:nvSpPr>
      <xdr:spPr>
        <a:xfrm flipV="1">
          <a:off x="2190750" y="8058150"/>
          <a:ext cx="952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46</xdr:row>
      <xdr:rowOff>104775</xdr:rowOff>
    </xdr:from>
    <xdr:to>
      <xdr:col>4</xdr:col>
      <xdr:colOff>266700</xdr:colOff>
      <xdr:row>47</xdr:row>
      <xdr:rowOff>19050</xdr:rowOff>
    </xdr:to>
    <xdr:sp>
      <xdr:nvSpPr>
        <xdr:cNvPr id="78" name="Line 105"/>
        <xdr:cNvSpPr>
          <a:spLocks/>
        </xdr:cNvSpPr>
      </xdr:nvSpPr>
      <xdr:spPr>
        <a:xfrm flipV="1">
          <a:off x="2190750" y="8134350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48</xdr:row>
      <xdr:rowOff>66675</xdr:rowOff>
    </xdr:from>
    <xdr:to>
      <xdr:col>4</xdr:col>
      <xdr:colOff>266700</xdr:colOff>
      <xdr:row>48</xdr:row>
      <xdr:rowOff>161925</xdr:rowOff>
    </xdr:to>
    <xdr:sp>
      <xdr:nvSpPr>
        <xdr:cNvPr id="79" name="Line 106"/>
        <xdr:cNvSpPr>
          <a:spLocks/>
        </xdr:cNvSpPr>
      </xdr:nvSpPr>
      <xdr:spPr>
        <a:xfrm flipV="1">
          <a:off x="2181225" y="8448675"/>
          <a:ext cx="952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47</xdr:row>
      <xdr:rowOff>19050</xdr:rowOff>
    </xdr:from>
    <xdr:to>
      <xdr:col>4</xdr:col>
      <xdr:colOff>266700</xdr:colOff>
      <xdr:row>47</xdr:row>
      <xdr:rowOff>123825</xdr:rowOff>
    </xdr:to>
    <xdr:sp>
      <xdr:nvSpPr>
        <xdr:cNvPr id="80" name="Line 107"/>
        <xdr:cNvSpPr>
          <a:spLocks/>
        </xdr:cNvSpPr>
      </xdr:nvSpPr>
      <xdr:spPr>
        <a:xfrm flipV="1">
          <a:off x="2181225" y="8229600"/>
          <a:ext cx="952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48</xdr:row>
      <xdr:rowOff>76200</xdr:rowOff>
    </xdr:from>
    <xdr:to>
      <xdr:col>4</xdr:col>
      <xdr:colOff>247650</xdr:colOff>
      <xdr:row>49</xdr:row>
      <xdr:rowOff>0</xdr:rowOff>
    </xdr:to>
    <xdr:sp>
      <xdr:nvSpPr>
        <xdr:cNvPr id="81" name="Line 108"/>
        <xdr:cNvSpPr>
          <a:spLocks/>
        </xdr:cNvSpPr>
      </xdr:nvSpPr>
      <xdr:spPr>
        <a:xfrm flipV="1">
          <a:off x="2162175" y="8458200"/>
          <a:ext cx="952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47</xdr:row>
      <xdr:rowOff>123825</xdr:rowOff>
    </xdr:from>
    <xdr:to>
      <xdr:col>4</xdr:col>
      <xdr:colOff>257175</xdr:colOff>
      <xdr:row>48</xdr:row>
      <xdr:rowOff>47625</xdr:rowOff>
    </xdr:to>
    <xdr:sp>
      <xdr:nvSpPr>
        <xdr:cNvPr id="82" name="Line 109"/>
        <xdr:cNvSpPr>
          <a:spLocks/>
        </xdr:cNvSpPr>
      </xdr:nvSpPr>
      <xdr:spPr>
        <a:xfrm flipV="1">
          <a:off x="2181225" y="8334375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485775</xdr:colOff>
      <xdr:row>46</xdr:row>
      <xdr:rowOff>171450</xdr:rowOff>
    </xdr:from>
    <xdr:to>
      <xdr:col>1</xdr:col>
      <xdr:colOff>485775</xdr:colOff>
      <xdr:row>47</xdr:row>
      <xdr:rowOff>76200</xdr:rowOff>
    </xdr:to>
    <xdr:sp>
      <xdr:nvSpPr>
        <xdr:cNvPr id="83" name="Line 111"/>
        <xdr:cNvSpPr>
          <a:spLocks/>
        </xdr:cNvSpPr>
      </xdr:nvSpPr>
      <xdr:spPr>
        <a:xfrm flipH="1">
          <a:off x="723900" y="8201025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400050</xdr:colOff>
      <xdr:row>46</xdr:row>
      <xdr:rowOff>28575</xdr:rowOff>
    </xdr:from>
    <xdr:to>
      <xdr:col>2</xdr:col>
      <xdr:colOff>400050</xdr:colOff>
      <xdr:row>47</xdr:row>
      <xdr:rowOff>76200</xdr:rowOff>
    </xdr:to>
    <xdr:sp>
      <xdr:nvSpPr>
        <xdr:cNvPr id="84" name="Line 112"/>
        <xdr:cNvSpPr>
          <a:spLocks/>
        </xdr:cNvSpPr>
      </xdr:nvSpPr>
      <xdr:spPr>
        <a:xfrm>
          <a:off x="1228725" y="80581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45</xdr:row>
      <xdr:rowOff>152400</xdr:rowOff>
    </xdr:from>
    <xdr:to>
      <xdr:col>3</xdr:col>
      <xdr:colOff>28575</xdr:colOff>
      <xdr:row>47</xdr:row>
      <xdr:rowOff>66675</xdr:rowOff>
    </xdr:to>
    <xdr:sp>
      <xdr:nvSpPr>
        <xdr:cNvPr id="85" name="Line 113"/>
        <xdr:cNvSpPr>
          <a:spLocks/>
        </xdr:cNvSpPr>
      </xdr:nvSpPr>
      <xdr:spPr>
        <a:xfrm>
          <a:off x="1447800" y="801052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45</xdr:row>
      <xdr:rowOff>76200</xdr:rowOff>
    </xdr:from>
    <xdr:to>
      <xdr:col>3</xdr:col>
      <xdr:colOff>276225</xdr:colOff>
      <xdr:row>47</xdr:row>
      <xdr:rowOff>85725</xdr:rowOff>
    </xdr:to>
    <xdr:sp>
      <xdr:nvSpPr>
        <xdr:cNvPr id="86" name="Line 114"/>
        <xdr:cNvSpPr>
          <a:spLocks/>
        </xdr:cNvSpPr>
      </xdr:nvSpPr>
      <xdr:spPr>
        <a:xfrm>
          <a:off x="1695450" y="7934325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504825</xdr:colOff>
      <xdr:row>45</xdr:row>
      <xdr:rowOff>0</xdr:rowOff>
    </xdr:from>
    <xdr:to>
      <xdr:col>3</xdr:col>
      <xdr:colOff>504825</xdr:colOff>
      <xdr:row>47</xdr:row>
      <xdr:rowOff>66675</xdr:rowOff>
    </xdr:to>
    <xdr:sp>
      <xdr:nvSpPr>
        <xdr:cNvPr id="87" name="Line 115"/>
        <xdr:cNvSpPr>
          <a:spLocks/>
        </xdr:cNvSpPr>
      </xdr:nvSpPr>
      <xdr:spPr>
        <a:xfrm>
          <a:off x="1924050" y="7858125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44</xdr:row>
      <xdr:rowOff>104775</xdr:rowOff>
    </xdr:from>
    <xdr:to>
      <xdr:col>4</xdr:col>
      <xdr:colOff>152400</xdr:colOff>
      <xdr:row>47</xdr:row>
      <xdr:rowOff>57150</xdr:rowOff>
    </xdr:to>
    <xdr:sp>
      <xdr:nvSpPr>
        <xdr:cNvPr id="88" name="Line 130"/>
        <xdr:cNvSpPr>
          <a:spLocks/>
        </xdr:cNvSpPr>
      </xdr:nvSpPr>
      <xdr:spPr>
        <a:xfrm flipV="1">
          <a:off x="514350" y="7791450"/>
          <a:ext cx="164782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44</xdr:row>
      <xdr:rowOff>114300</xdr:rowOff>
    </xdr:from>
    <xdr:to>
      <xdr:col>4</xdr:col>
      <xdr:colOff>152400</xdr:colOff>
      <xdr:row>47</xdr:row>
      <xdr:rowOff>57150</xdr:rowOff>
    </xdr:to>
    <xdr:sp>
      <xdr:nvSpPr>
        <xdr:cNvPr id="89" name="Line 131"/>
        <xdr:cNvSpPr>
          <a:spLocks/>
        </xdr:cNvSpPr>
      </xdr:nvSpPr>
      <xdr:spPr>
        <a:xfrm>
          <a:off x="2162175" y="780097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1</xdr:row>
      <xdr:rowOff>114300</xdr:rowOff>
    </xdr:from>
    <xdr:to>
      <xdr:col>2</xdr:col>
      <xdr:colOff>571500</xdr:colOff>
      <xdr:row>9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523875" y="276225"/>
          <a:ext cx="1266825" cy="1304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2</xdr:row>
      <xdr:rowOff>114300</xdr:rowOff>
    </xdr:from>
    <xdr:to>
      <xdr:col>1</xdr:col>
      <xdr:colOff>228600</xdr:colOff>
      <xdr:row>3</xdr:row>
      <xdr:rowOff>114300</xdr:rowOff>
    </xdr:to>
    <xdr:sp>
      <xdr:nvSpPr>
        <xdr:cNvPr id="2" name="Oval 2"/>
        <xdr:cNvSpPr>
          <a:spLocks/>
        </xdr:cNvSpPr>
      </xdr:nvSpPr>
      <xdr:spPr>
        <a:xfrm>
          <a:off x="676275" y="438150"/>
          <a:ext cx="161925" cy="161925"/>
        </a:xfrm>
        <a:prstGeom prst="ellipse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2</xdr:col>
      <xdr:colOff>476250</xdr:colOff>
      <xdr:row>3</xdr:row>
      <xdr:rowOff>47625</xdr:rowOff>
    </xdr:to>
    <xdr:sp>
      <xdr:nvSpPr>
        <xdr:cNvPr id="3" name="Line 3"/>
        <xdr:cNvSpPr>
          <a:spLocks/>
        </xdr:cNvSpPr>
      </xdr:nvSpPr>
      <xdr:spPr>
        <a:xfrm>
          <a:off x="609600" y="523875"/>
          <a:ext cx="1085850" cy="9525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152400</xdr:colOff>
      <xdr:row>2</xdr:row>
      <xdr:rowOff>19050</xdr:rowOff>
    </xdr:from>
    <xdr:to>
      <xdr:col>1</xdr:col>
      <xdr:colOff>152400</xdr:colOff>
      <xdr:row>9</xdr:row>
      <xdr:rowOff>38100</xdr:rowOff>
    </xdr:to>
    <xdr:sp>
      <xdr:nvSpPr>
        <xdr:cNvPr id="4" name="Line 4"/>
        <xdr:cNvSpPr>
          <a:spLocks/>
        </xdr:cNvSpPr>
      </xdr:nvSpPr>
      <xdr:spPr>
        <a:xfrm>
          <a:off x="762000" y="342900"/>
          <a:ext cx="0" cy="1152525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2</xdr:row>
      <xdr:rowOff>123825</xdr:rowOff>
    </xdr:from>
    <xdr:to>
      <xdr:col>2</xdr:col>
      <xdr:colOff>19050</xdr:colOff>
      <xdr:row>3</xdr:row>
      <xdr:rowOff>123825</xdr:rowOff>
    </xdr:to>
    <xdr:sp>
      <xdr:nvSpPr>
        <xdr:cNvPr id="5" name="Oval 5"/>
        <xdr:cNvSpPr>
          <a:spLocks/>
        </xdr:cNvSpPr>
      </xdr:nvSpPr>
      <xdr:spPr>
        <a:xfrm>
          <a:off x="1076325" y="447675"/>
          <a:ext cx="161925" cy="161925"/>
        </a:xfrm>
        <a:prstGeom prst="ellipse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257175</xdr:colOff>
      <xdr:row>2</xdr:row>
      <xdr:rowOff>123825</xdr:rowOff>
    </xdr:from>
    <xdr:to>
      <xdr:col>2</xdr:col>
      <xdr:colOff>419100</xdr:colOff>
      <xdr:row>3</xdr:row>
      <xdr:rowOff>123825</xdr:rowOff>
    </xdr:to>
    <xdr:sp>
      <xdr:nvSpPr>
        <xdr:cNvPr id="6" name="Oval 6"/>
        <xdr:cNvSpPr>
          <a:spLocks/>
        </xdr:cNvSpPr>
      </xdr:nvSpPr>
      <xdr:spPr>
        <a:xfrm>
          <a:off x="1476375" y="447675"/>
          <a:ext cx="161925" cy="161925"/>
        </a:xfrm>
        <a:prstGeom prst="ellipse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</xdr:row>
      <xdr:rowOff>38100</xdr:rowOff>
    </xdr:from>
    <xdr:to>
      <xdr:col>1</xdr:col>
      <xdr:colOff>542925</xdr:colOff>
      <xdr:row>9</xdr:row>
      <xdr:rowOff>47625</xdr:rowOff>
    </xdr:to>
    <xdr:sp>
      <xdr:nvSpPr>
        <xdr:cNvPr id="7" name="Line 10"/>
        <xdr:cNvSpPr>
          <a:spLocks/>
        </xdr:cNvSpPr>
      </xdr:nvSpPr>
      <xdr:spPr>
        <a:xfrm>
          <a:off x="1152525" y="361950"/>
          <a:ext cx="0" cy="114300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2</xdr:row>
      <xdr:rowOff>47625</xdr:rowOff>
    </xdr:from>
    <xdr:to>
      <xdr:col>2</xdr:col>
      <xdr:colOff>333375</xdr:colOff>
      <xdr:row>9</xdr:row>
      <xdr:rowOff>38100</xdr:rowOff>
    </xdr:to>
    <xdr:sp>
      <xdr:nvSpPr>
        <xdr:cNvPr id="8" name="Line 11"/>
        <xdr:cNvSpPr>
          <a:spLocks/>
        </xdr:cNvSpPr>
      </xdr:nvSpPr>
      <xdr:spPr>
        <a:xfrm>
          <a:off x="1552575" y="371475"/>
          <a:ext cx="0" cy="112395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114300</xdr:rowOff>
    </xdr:from>
    <xdr:to>
      <xdr:col>1</xdr:col>
      <xdr:colOff>228600</xdr:colOff>
      <xdr:row>8</xdr:row>
      <xdr:rowOff>114300</xdr:rowOff>
    </xdr:to>
    <xdr:sp>
      <xdr:nvSpPr>
        <xdr:cNvPr id="9" name="Oval 13"/>
        <xdr:cNvSpPr>
          <a:spLocks/>
        </xdr:cNvSpPr>
      </xdr:nvSpPr>
      <xdr:spPr>
        <a:xfrm>
          <a:off x="676275" y="1247775"/>
          <a:ext cx="161925" cy="161925"/>
        </a:xfrm>
        <a:prstGeom prst="ellipse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600075</xdr:colOff>
      <xdr:row>8</xdr:row>
      <xdr:rowOff>38100</xdr:rowOff>
    </xdr:from>
    <xdr:to>
      <xdr:col>2</xdr:col>
      <xdr:colOff>485775</xdr:colOff>
      <xdr:row>8</xdr:row>
      <xdr:rowOff>47625</xdr:rowOff>
    </xdr:to>
    <xdr:sp>
      <xdr:nvSpPr>
        <xdr:cNvPr id="10" name="Line 14"/>
        <xdr:cNvSpPr>
          <a:spLocks/>
        </xdr:cNvSpPr>
      </xdr:nvSpPr>
      <xdr:spPr>
        <a:xfrm>
          <a:off x="600075" y="1333500"/>
          <a:ext cx="1104900" cy="9525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7</xdr:row>
      <xdr:rowOff>123825</xdr:rowOff>
    </xdr:from>
    <xdr:to>
      <xdr:col>2</xdr:col>
      <xdr:colOff>19050</xdr:colOff>
      <xdr:row>8</xdr:row>
      <xdr:rowOff>123825</xdr:rowOff>
    </xdr:to>
    <xdr:sp>
      <xdr:nvSpPr>
        <xdr:cNvPr id="11" name="Oval 15"/>
        <xdr:cNvSpPr>
          <a:spLocks/>
        </xdr:cNvSpPr>
      </xdr:nvSpPr>
      <xdr:spPr>
        <a:xfrm>
          <a:off x="1076325" y="1257300"/>
          <a:ext cx="161925" cy="161925"/>
        </a:xfrm>
        <a:prstGeom prst="ellipse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7</xdr:row>
      <xdr:rowOff>123825</xdr:rowOff>
    </xdr:from>
    <xdr:to>
      <xdr:col>2</xdr:col>
      <xdr:colOff>409575</xdr:colOff>
      <xdr:row>8</xdr:row>
      <xdr:rowOff>123825</xdr:rowOff>
    </xdr:to>
    <xdr:sp>
      <xdr:nvSpPr>
        <xdr:cNvPr id="12" name="Oval 16"/>
        <xdr:cNvSpPr>
          <a:spLocks/>
        </xdr:cNvSpPr>
      </xdr:nvSpPr>
      <xdr:spPr>
        <a:xfrm>
          <a:off x="1466850" y="1257300"/>
          <a:ext cx="161925" cy="161925"/>
        </a:xfrm>
        <a:prstGeom prst="ellipse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47625</xdr:rowOff>
    </xdr:from>
    <xdr:to>
      <xdr:col>1</xdr:col>
      <xdr:colOff>228600</xdr:colOff>
      <xdr:row>6</xdr:row>
      <xdr:rowOff>47625</xdr:rowOff>
    </xdr:to>
    <xdr:sp>
      <xdr:nvSpPr>
        <xdr:cNvPr id="13" name="Oval 24"/>
        <xdr:cNvSpPr>
          <a:spLocks/>
        </xdr:cNvSpPr>
      </xdr:nvSpPr>
      <xdr:spPr>
        <a:xfrm>
          <a:off x="676275" y="857250"/>
          <a:ext cx="161925" cy="161925"/>
        </a:xfrm>
        <a:prstGeom prst="ellipse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123825</xdr:rowOff>
    </xdr:from>
    <xdr:to>
      <xdr:col>2</xdr:col>
      <xdr:colOff>466725</xdr:colOff>
      <xdr:row>5</xdr:row>
      <xdr:rowOff>123825</xdr:rowOff>
    </xdr:to>
    <xdr:sp>
      <xdr:nvSpPr>
        <xdr:cNvPr id="14" name="Line 25"/>
        <xdr:cNvSpPr>
          <a:spLocks/>
        </xdr:cNvSpPr>
      </xdr:nvSpPr>
      <xdr:spPr>
        <a:xfrm flipV="1">
          <a:off x="609600" y="933450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5</xdr:row>
      <xdr:rowOff>57150</xdr:rowOff>
    </xdr:from>
    <xdr:to>
      <xdr:col>2</xdr:col>
      <xdr:colOff>19050</xdr:colOff>
      <xdr:row>6</xdr:row>
      <xdr:rowOff>57150</xdr:rowOff>
    </xdr:to>
    <xdr:sp>
      <xdr:nvSpPr>
        <xdr:cNvPr id="15" name="Oval 26"/>
        <xdr:cNvSpPr>
          <a:spLocks/>
        </xdr:cNvSpPr>
      </xdr:nvSpPr>
      <xdr:spPr>
        <a:xfrm>
          <a:off x="1076325" y="866775"/>
          <a:ext cx="161925" cy="161925"/>
        </a:xfrm>
        <a:prstGeom prst="ellipse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257175</xdr:colOff>
      <xdr:row>5</xdr:row>
      <xdr:rowOff>57150</xdr:rowOff>
    </xdr:from>
    <xdr:to>
      <xdr:col>2</xdr:col>
      <xdr:colOff>419100</xdr:colOff>
      <xdr:row>6</xdr:row>
      <xdr:rowOff>57150</xdr:rowOff>
    </xdr:to>
    <xdr:sp>
      <xdr:nvSpPr>
        <xdr:cNvPr id="16" name="Oval 27"/>
        <xdr:cNvSpPr>
          <a:spLocks/>
        </xdr:cNvSpPr>
      </xdr:nvSpPr>
      <xdr:spPr>
        <a:xfrm>
          <a:off x="1476375" y="866775"/>
          <a:ext cx="161925" cy="161925"/>
        </a:xfrm>
        <a:prstGeom prst="ellipse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228600</xdr:colOff>
      <xdr:row>1</xdr:row>
      <xdr:rowOff>114300</xdr:rowOff>
    </xdr:from>
    <xdr:to>
      <xdr:col>3</xdr:col>
      <xdr:colOff>333375</xdr:colOff>
      <xdr:row>9</xdr:row>
      <xdr:rowOff>133350</xdr:rowOff>
    </xdr:to>
    <xdr:sp>
      <xdr:nvSpPr>
        <xdr:cNvPr id="17" name="Rectangle 29" descr="Wide upward diagonal"/>
        <xdr:cNvSpPr>
          <a:spLocks/>
        </xdr:cNvSpPr>
      </xdr:nvSpPr>
      <xdr:spPr>
        <a:xfrm>
          <a:off x="2057400" y="276225"/>
          <a:ext cx="104775" cy="1314450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342900</xdr:colOff>
      <xdr:row>3</xdr:row>
      <xdr:rowOff>76200</xdr:rowOff>
    </xdr:from>
    <xdr:to>
      <xdr:col>5</xdr:col>
      <xdr:colOff>66675</xdr:colOff>
      <xdr:row>3</xdr:row>
      <xdr:rowOff>76200</xdr:rowOff>
    </xdr:to>
    <xdr:sp>
      <xdr:nvSpPr>
        <xdr:cNvPr id="18" name="Line 30"/>
        <xdr:cNvSpPr>
          <a:spLocks/>
        </xdr:cNvSpPr>
      </xdr:nvSpPr>
      <xdr:spPr>
        <a:xfrm>
          <a:off x="2171700" y="561975"/>
          <a:ext cx="9429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3</xdr:row>
      <xdr:rowOff>57150</xdr:rowOff>
    </xdr:from>
    <xdr:to>
      <xdr:col>5</xdr:col>
      <xdr:colOff>38100</xdr:colOff>
      <xdr:row>5</xdr:row>
      <xdr:rowOff>9525</xdr:rowOff>
    </xdr:to>
    <xdr:sp>
      <xdr:nvSpPr>
        <xdr:cNvPr id="19" name="Line 31"/>
        <xdr:cNvSpPr>
          <a:spLocks/>
        </xdr:cNvSpPr>
      </xdr:nvSpPr>
      <xdr:spPr>
        <a:xfrm flipV="1">
          <a:off x="3086100" y="542925"/>
          <a:ext cx="0" cy="276225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314325</xdr:colOff>
      <xdr:row>5</xdr:row>
      <xdr:rowOff>104775</xdr:rowOff>
    </xdr:from>
    <xdr:to>
      <xdr:col>5</xdr:col>
      <xdr:colOff>47625</xdr:colOff>
      <xdr:row>5</xdr:row>
      <xdr:rowOff>114300</xdr:rowOff>
    </xdr:to>
    <xdr:sp>
      <xdr:nvSpPr>
        <xdr:cNvPr id="20" name="Line 32"/>
        <xdr:cNvSpPr>
          <a:spLocks/>
        </xdr:cNvSpPr>
      </xdr:nvSpPr>
      <xdr:spPr>
        <a:xfrm flipV="1">
          <a:off x="2143125" y="914400"/>
          <a:ext cx="952500" cy="1905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5</xdr:row>
      <xdr:rowOff>95250</xdr:rowOff>
    </xdr:from>
    <xdr:to>
      <xdr:col>5</xdr:col>
      <xdr:colOff>38100</xdr:colOff>
      <xdr:row>7</xdr:row>
      <xdr:rowOff>38100</xdr:rowOff>
    </xdr:to>
    <xdr:sp>
      <xdr:nvSpPr>
        <xdr:cNvPr id="21" name="Line 33"/>
        <xdr:cNvSpPr>
          <a:spLocks/>
        </xdr:cNvSpPr>
      </xdr:nvSpPr>
      <xdr:spPr>
        <a:xfrm flipV="1">
          <a:off x="3086100" y="904875"/>
          <a:ext cx="0" cy="26670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8</xdr:row>
      <xdr:rowOff>47625</xdr:rowOff>
    </xdr:from>
    <xdr:to>
      <xdr:col>5</xdr:col>
      <xdr:colOff>38100</xdr:colOff>
      <xdr:row>8</xdr:row>
      <xdr:rowOff>47625</xdr:rowOff>
    </xdr:to>
    <xdr:sp>
      <xdr:nvSpPr>
        <xdr:cNvPr id="22" name="Line 34"/>
        <xdr:cNvSpPr>
          <a:spLocks/>
        </xdr:cNvSpPr>
      </xdr:nvSpPr>
      <xdr:spPr>
        <a:xfrm>
          <a:off x="2162175" y="1343025"/>
          <a:ext cx="92392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</xdr:row>
      <xdr:rowOff>47625</xdr:rowOff>
    </xdr:from>
    <xdr:to>
      <xdr:col>5</xdr:col>
      <xdr:colOff>9525</xdr:colOff>
      <xdr:row>9</xdr:row>
      <xdr:rowOff>152400</xdr:rowOff>
    </xdr:to>
    <xdr:sp>
      <xdr:nvSpPr>
        <xdr:cNvPr id="23" name="Line 35"/>
        <xdr:cNvSpPr>
          <a:spLocks/>
        </xdr:cNvSpPr>
      </xdr:nvSpPr>
      <xdr:spPr>
        <a:xfrm flipH="1" flipV="1">
          <a:off x="3057525" y="1343025"/>
          <a:ext cx="0" cy="26670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85725</xdr:rowOff>
    </xdr:from>
    <xdr:to>
      <xdr:col>9</xdr:col>
      <xdr:colOff>66675</xdr:colOff>
      <xdr:row>18</xdr:row>
      <xdr:rowOff>66675</xdr:rowOff>
    </xdr:to>
    <xdr:grpSp>
      <xdr:nvGrpSpPr>
        <xdr:cNvPr id="1" name="Group 67"/>
        <xdr:cNvGrpSpPr>
          <a:grpSpLocks/>
        </xdr:cNvGrpSpPr>
      </xdr:nvGrpSpPr>
      <xdr:grpSpPr>
        <a:xfrm>
          <a:off x="142875" y="85725"/>
          <a:ext cx="6286500" cy="2924175"/>
          <a:chOff x="15" y="9"/>
          <a:chExt cx="549" cy="341"/>
        </a:xfrm>
        <a:solidFill>
          <a:srgbClr val="FFFFFF"/>
        </a:solidFill>
      </xdr:grpSpPr>
      <xdr:sp>
        <xdr:nvSpPr>
          <xdr:cNvPr id="2" name="Rectangle 13"/>
          <xdr:cNvSpPr>
            <a:spLocks/>
          </xdr:cNvSpPr>
        </xdr:nvSpPr>
        <xdr:spPr>
          <a:xfrm>
            <a:off x="34" y="24"/>
            <a:ext cx="183" cy="19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 flipV="1">
            <a:off x="15" y="60"/>
            <a:ext cx="416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17" y="122"/>
            <a:ext cx="413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 flipV="1">
            <a:off x="17" y="181"/>
            <a:ext cx="414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Oval 7"/>
          <xdr:cNvSpPr>
            <a:spLocks/>
          </xdr:cNvSpPr>
        </xdr:nvSpPr>
        <xdr:spPr>
          <a:xfrm>
            <a:off x="74" y="55"/>
            <a:ext cx="10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Oval 8"/>
          <xdr:cNvSpPr>
            <a:spLocks/>
          </xdr:cNvSpPr>
        </xdr:nvSpPr>
        <xdr:spPr>
          <a:xfrm>
            <a:off x="164" y="55"/>
            <a:ext cx="12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Oval 9"/>
          <xdr:cNvSpPr>
            <a:spLocks/>
          </xdr:cNvSpPr>
        </xdr:nvSpPr>
        <xdr:spPr>
          <a:xfrm>
            <a:off x="73" y="117"/>
            <a:ext cx="10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Oval 10"/>
          <xdr:cNvSpPr>
            <a:spLocks/>
          </xdr:cNvSpPr>
        </xdr:nvSpPr>
        <xdr:spPr>
          <a:xfrm>
            <a:off x="164" y="116"/>
            <a:ext cx="12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Oval 11"/>
          <xdr:cNvSpPr>
            <a:spLocks/>
          </xdr:cNvSpPr>
        </xdr:nvSpPr>
        <xdr:spPr>
          <a:xfrm>
            <a:off x="74" y="177"/>
            <a:ext cx="10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Oval 12"/>
          <xdr:cNvSpPr>
            <a:spLocks/>
          </xdr:cNvSpPr>
        </xdr:nvSpPr>
        <xdr:spPr>
          <a:xfrm>
            <a:off x="164" y="176"/>
            <a:ext cx="12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14"/>
          <xdr:cNvSpPr>
            <a:spLocks/>
          </xdr:cNvSpPr>
        </xdr:nvSpPr>
        <xdr:spPr>
          <a:xfrm>
            <a:off x="411" y="10"/>
            <a:ext cx="0" cy="22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Rectangle 15" descr="Wide upward diagonal"/>
          <xdr:cNvSpPr>
            <a:spLocks/>
          </xdr:cNvSpPr>
        </xdr:nvSpPr>
        <xdr:spPr>
          <a:xfrm>
            <a:off x="398" y="28"/>
            <a:ext cx="13" cy="193"/>
          </a:xfrm>
          <a:prstGeom prst="rect">
            <a:avLst/>
          </a:prstGeom>
          <a:blipFill>
            <a:blip r:embed="rId1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Line 16"/>
          <xdr:cNvSpPr>
            <a:spLocks/>
          </xdr:cNvSpPr>
        </xdr:nvSpPr>
        <xdr:spPr>
          <a:xfrm>
            <a:off x="383" y="124"/>
            <a:ext cx="53" cy="0"/>
          </a:xfrm>
          <a:prstGeom prst="line">
            <a:avLst/>
          </a:prstGeom>
          <a:noFill/>
          <a:ln w="762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17"/>
          <xdr:cNvSpPr>
            <a:spLocks/>
          </xdr:cNvSpPr>
        </xdr:nvSpPr>
        <xdr:spPr>
          <a:xfrm>
            <a:off x="379" y="60"/>
            <a:ext cx="56" cy="0"/>
          </a:xfrm>
          <a:prstGeom prst="line">
            <a:avLst/>
          </a:prstGeom>
          <a:noFill/>
          <a:ln w="762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Line 18"/>
          <xdr:cNvSpPr>
            <a:spLocks/>
          </xdr:cNvSpPr>
        </xdr:nvSpPr>
        <xdr:spPr>
          <a:xfrm>
            <a:off x="383" y="180"/>
            <a:ext cx="52" cy="0"/>
          </a:xfrm>
          <a:prstGeom prst="line">
            <a:avLst/>
          </a:prstGeom>
          <a:noFill/>
          <a:ln w="762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Line 21"/>
          <xdr:cNvSpPr>
            <a:spLocks/>
          </xdr:cNvSpPr>
        </xdr:nvSpPr>
        <xdr:spPr>
          <a:xfrm>
            <a:off x="441" y="222"/>
            <a:ext cx="1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26"/>
          <xdr:cNvSpPr>
            <a:spLocks/>
          </xdr:cNvSpPr>
        </xdr:nvSpPr>
        <xdr:spPr>
          <a:xfrm flipV="1">
            <a:off x="506" y="181"/>
            <a:ext cx="0" cy="4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Line 27"/>
          <xdr:cNvSpPr>
            <a:spLocks/>
          </xdr:cNvSpPr>
        </xdr:nvSpPr>
        <xdr:spPr>
          <a:xfrm>
            <a:off x="460" y="181"/>
            <a:ext cx="6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Line 28"/>
          <xdr:cNvSpPr>
            <a:spLocks/>
          </xdr:cNvSpPr>
        </xdr:nvSpPr>
        <xdr:spPr>
          <a:xfrm flipV="1">
            <a:off x="460" y="123"/>
            <a:ext cx="53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29"/>
          <xdr:cNvSpPr>
            <a:spLocks/>
          </xdr:cNvSpPr>
        </xdr:nvSpPr>
        <xdr:spPr>
          <a:xfrm flipV="1">
            <a:off x="458" y="61"/>
            <a:ext cx="6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30"/>
          <xdr:cNvSpPr>
            <a:spLocks/>
          </xdr:cNvSpPr>
        </xdr:nvSpPr>
        <xdr:spPr>
          <a:xfrm flipV="1">
            <a:off x="550" y="30"/>
            <a:ext cx="0" cy="19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31"/>
          <xdr:cNvSpPr>
            <a:spLocks/>
          </xdr:cNvSpPr>
        </xdr:nvSpPr>
        <xdr:spPr>
          <a:xfrm flipV="1">
            <a:off x="506" y="60"/>
            <a:ext cx="0" cy="6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32"/>
          <xdr:cNvSpPr>
            <a:spLocks/>
          </xdr:cNvSpPr>
        </xdr:nvSpPr>
        <xdr:spPr>
          <a:xfrm flipV="1">
            <a:off x="438" y="30"/>
            <a:ext cx="12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33"/>
          <xdr:cNvSpPr>
            <a:spLocks/>
          </xdr:cNvSpPr>
        </xdr:nvSpPr>
        <xdr:spPr>
          <a:xfrm flipV="1">
            <a:off x="506" y="29"/>
            <a:ext cx="0" cy="3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35"/>
          <xdr:cNvSpPr>
            <a:spLocks/>
          </xdr:cNvSpPr>
        </xdr:nvSpPr>
        <xdr:spPr>
          <a:xfrm flipV="1">
            <a:off x="506" y="124"/>
            <a:ext cx="0" cy="5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42"/>
          <xdr:cNvSpPr>
            <a:spLocks/>
          </xdr:cNvSpPr>
        </xdr:nvSpPr>
        <xdr:spPr>
          <a:xfrm>
            <a:off x="306" y="70"/>
            <a:ext cx="0" cy="94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Line 1"/>
          <xdr:cNvSpPr>
            <a:spLocks/>
          </xdr:cNvSpPr>
        </xdr:nvSpPr>
        <xdr:spPr>
          <a:xfrm>
            <a:off x="80" y="11"/>
            <a:ext cx="0" cy="297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Line 2"/>
          <xdr:cNvSpPr>
            <a:spLocks/>
          </xdr:cNvSpPr>
        </xdr:nvSpPr>
        <xdr:spPr>
          <a:xfrm>
            <a:off x="169" y="9"/>
            <a:ext cx="0" cy="299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Line 19"/>
          <xdr:cNvSpPr>
            <a:spLocks/>
          </xdr:cNvSpPr>
        </xdr:nvSpPr>
        <xdr:spPr>
          <a:xfrm>
            <a:off x="34" y="235"/>
            <a:ext cx="0" cy="1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Line 20"/>
          <xdr:cNvSpPr>
            <a:spLocks/>
          </xdr:cNvSpPr>
        </xdr:nvSpPr>
        <xdr:spPr>
          <a:xfrm>
            <a:off x="211" y="236"/>
            <a:ext cx="0" cy="1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Line 22"/>
          <xdr:cNvSpPr>
            <a:spLocks/>
          </xdr:cNvSpPr>
        </xdr:nvSpPr>
        <xdr:spPr>
          <a:xfrm>
            <a:off x="35" y="284"/>
            <a:ext cx="4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Line 23"/>
          <xdr:cNvSpPr>
            <a:spLocks/>
          </xdr:cNvSpPr>
        </xdr:nvSpPr>
        <xdr:spPr>
          <a:xfrm>
            <a:off x="80" y="284"/>
            <a:ext cx="8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Line 24"/>
          <xdr:cNvSpPr>
            <a:spLocks/>
          </xdr:cNvSpPr>
        </xdr:nvSpPr>
        <xdr:spPr>
          <a:xfrm flipV="1">
            <a:off x="170" y="284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Line 34"/>
          <xdr:cNvSpPr>
            <a:spLocks/>
          </xdr:cNvSpPr>
        </xdr:nvSpPr>
        <xdr:spPr>
          <a:xfrm>
            <a:off x="34" y="337"/>
            <a:ext cx="17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Line 37"/>
          <xdr:cNvSpPr>
            <a:spLocks/>
          </xdr:cNvSpPr>
        </xdr:nvSpPr>
        <xdr:spPr>
          <a:xfrm>
            <a:off x="400" y="231"/>
            <a:ext cx="0" cy="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38"/>
          <xdr:cNvSpPr>
            <a:spLocks/>
          </xdr:cNvSpPr>
        </xdr:nvSpPr>
        <xdr:spPr>
          <a:xfrm>
            <a:off x="411" y="228"/>
            <a:ext cx="0" cy="4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Line 39"/>
          <xdr:cNvSpPr>
            <a:spLocks/>
          </xdr:cNvSpPr>
        </xdr:nvSpPr>
        <xdr:spPr>
          <a:xfrm>
            <a:off x="378" y="264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Oval 40"/>
          <xdr:cNvSpPr>
            <a:spLocks/>
          </xdr:cNvSpPr>
        </xdr:nvSpPr>
        <xdr:spPr>
          <a:xfrm>
            <a:off x="408" y="259"/>
            <a:ext cx="7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Line 43"/>
          <xdr:cNvSpPr>
            <a:spLocks/>
          </xdr:cNvSpPr>
        </xdr:nvSpPr>
        <xdr:spPr>
          <a:xfrm>
            <a:off x="306" y="174"/>
            <a:ext cx="0" cy="9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Line 44"/>
          <xdr:cNvSpPr>
            <a:spLocks/>
          </xdr:cNvSpPr>
        </xdr:nvSpPr>
        <xdr:spPr>
          <a:xfrm>
            <a:off x="307" y="263"/>
            <a:ext cx="92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Text Box 47"/>
          <xdr:cNvSpPr txBox="1">
            <a:spLocks noChangeArrowheads="1"/>
          </xdr:cNvSpPr>
        </xdr:nvSpPr>
        <xdr:spPr>
          <a:xfrm>
            <a:off x="46" y="259"/>
            <a:ext cx="19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43" name="Text Box 48"/>
          <xdr:cNvSpPr txBox="1">
            <a:spLocks noChangeArrowheads="1"/>
          </xdr:cNvSpPr>
        </xdr:nvSpPr>
        <xdr:spPr>
          <a:xfrm>
            <a:off x="181" y="260"/>
            <a:ext cx="20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44" name="Text Box 49"/>
          <xdr:cNvSpPr txBox="1">
            <a:spLocks noChangeArrowheads="1"/>
          </xdr:cNvSpPr>
        </xdr:nvSpPr>
        <xdr:spPr>
          <a:xfrm>
            <a:off x="118" y="260"/>
            <a:ext cx="20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45" name="Text Box 50"/>
          <xdr:cNvSpPr txBox="1">
            <a:spLocks noChangeArrowheads="1"/>
          </xdr:cNvSpPr>
        </xdr:nvSpPr>
        <xdr:spPr>
          <a:xfrm>
            <a:off x="104" y="316"/>
            <a:ext cx="35" cy="2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Lx</a:t>
            </a:r>
          </a:p>
        </xdr:txBody>
      </xdr:sp>
      <xdr:sp>
        <xdr:nvSpPr>
          <xdr:cNvPr id="46" name="Text Box 51"/>
          <xdr:cNvSpPr txBox="1">
            <a:spLocks noChangeArrowheads="1"/>
          </xdr:cNvSpPr>
        </xdr:nvSpPr>
        <xdr:spPr>
          <a:xfrm>
            <a:off x="342" y="240"/>
            <a:ext cx="19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47" name="Text Box 52"/>
          <xdr:cNvSpPr txBox="1">
            <a:spLocks noChangeArrowheads="1"/>
          </xdr:cNvSpPr>
        </xdr:nvSpPr>
        <xdr:spPr>
          <a:xfrm>
            <a:off x="419" y="240"/>
            <a:ext cx="21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δ</a:t>
            </a:r>
          </a:p>
        </xdr:txBody>
      </xdr:sp>
      <xdr:sp>
        <xdr:nvSpPr>
          <xdr:cNvPr id="48" name="Text Box 53"/>
          <xdr:cNvSpPr txBox="1">
            <a:spLocks noChangeArrowheads="1"/>
          </xdr:cNvSpPr>
        </xdr:nvSpPr>
        <xdr:spPr>
          <a:xfrm>
            <a:off x="476" y="194"/>
            <a:ext cx="19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49" name="Text Box 54"/>
          <xdr:cNvSpPr txBox="1">
            <a:spLocks noChangeArrowheads="1"/>
          </xdr:cNvSpPr>
        </xdr:nvSpPr>
        <xdr:spPr>
          <a:xfrm>
            <a:off x="476" y="138"/>
            <a:ext cx="19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50" name="Text Box 55"/>
          <xdr:cNvSpPr txBox="1">
            <a:spLocks noChangeArrowheads="1"/>
          </xdr:cNvSpPr>
        </xdr:nvSpPr>
        <xdr:spPr>
          <a:xfrm>
            <a:off x="477" y="85"/>
            <a:ext cx="20" cy="2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51" name="Text Box 56"/>
          <xdr:cNvSpPr txBox="1">
            <a:spLocks noChangeArrowheads="1"/>
          </xdr:cNvSpPr>
        </xdr:nvSpPr>
        <xdr:spPr>
          <a:xfrm>
            <a:off x="477" y="37"/>
            <a:ext cx="20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52" name="Text Box 57"/>
          <xdr:cNvSpPr txBox="1">
            <a:spLocks noChangeArrowheads="1"/>
          </xdr:cNvSpPr>
        </xdr:nvSpPr>
        <xdr:spPr>
          <a:xfrm>
            <a:off x="526" y="113"/>
            <a:ext cx="20" cy="18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Ly</a:t>
            </a:r>
          </a:p>
        </xdr:txBody>
      </xdr:sp>
      <xdr:sp>
        <xdr:nvSpPr>
          <xdr:cNvPr id="53" name="Text Box 65"/>
          <xdr:cNvSpPr txBox="1">
            <a:spLocks noChangeArrowheads="1"/>
          </xdr:cNvSpPr>
        </xdr:nvSpPr>
        <xdr:spPr>
          <a:xfrm>
            <a:off x="312" y="112"/>
            <a:ext cx="20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achinemfg.com/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machinemfg.com/" TargetMode="Externa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machinemfg.com/" TargetMode="Externa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machinemfg.com/" TargetMode="Externa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machinemfg.com/" TargetMode="Externa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machinemfg.com/" TargetMode="Externa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machinemfg.com/" TargetMode="Externa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machinemfg.com/" TargetMode="Externa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machinemfg.com/" TargetMode="External" /><Relationship Id="rId2" Type="http://schemas.openxmlformats.org/officeDocument/2006/relationships/drawing" Target="../drawings/drawing3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machinemfg.com/" TargetMode="Externa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58"/>
  <sheetViews>
    <sheetView showGridLines="0" zoomScalePageLayoutView="0" workbookViewId="0" topLeftCell="A1">
      <selection activeCell="K14" sqref="K14"/>
    </sheetView>
  </sheetViews>
  <sheetFormatPr defaultColWidth="9.140625" defaultRowHeight="12.75"/>
  <cols>
    <col min="1" max="1" width="8.8515625" style="141" customWidth="1"/>
    <col min="2" max="2" width="34.00390625" style="141" customWidth="1"/>
    <col min="3" max="3" width="8.8515625" style="141" customWidth="1"/>
    <col min="4" max="4" width="8.00390625" style="141" customWidth="1"/>
    <col min="5" max="5" width="4.7109375" style="142" bestFit="1" customWidth="1"/>
    <col min="6" max="6" width="13.28125" style="141" customWidth="1"/>
    <col min="7" max="7" width="18.57421875" style="141" bestFit="1" customWidth="1"/>
    <col min="8" max="8" width="8.421875" style="141" bestFit="1" customWidth="1"/>
    <col min="9" max="9" width="6.00390625" style="141" bestFit="1" customWidth="1"/>
    <col min="10" max="10" width="27.7109375" style="141" bestFit="1" customWidth="1"/>
    <col min="11" max="16384" width="8.8515625" style="141" customWidth="1"/>
  </cols>
  <sheetData>
    <row r="1" spans="1:2" ht="12.75">
      <c r="A1" s="387" t="s">
        <v>366</v>
      </c>
      <c r="B1" s="387"/>
    </row>
    <row r="2" ht="13.5" thickBot="1"/>
    <row r="3" spans="1:12" ht="12.75">
      <c r="A3" s="59">
        <v>2</v>
      </c>
      <c r="B3" s="143" t="s">
        <v>261</v>
      </c>
      <c r="C3" s="144"/>
      <c r="D3" s="145"/>
      <c r="F3" s="33">
        <v>41</v>
      </c>
      <c r="G3" s="208" t="s">
        <v>266</v>
      </c>
      <c r="H3" s="144"/>
      <c r="I3" s="147"/>
      <c r="J3" s="148"/>
      <c r="K3" s="149"/>
      <c r="L3" s="150"/>
    </row>
    <row r="4" spans="2:12" ht="12.75">
      <c r="B4" s="205" t="s">
        <v>262</v>
      </c>
      <c r="C4" s="152"/>
      <c r="D4" s="153"/>
      <c r="G4" s="209" t="s">
        <v>267</v>
      </c>
      <c r="H4" s="155"/>
      <c r="I4" s="152"/>
      <c r="J4" s="156" t="s">
        <v>274</v>
      </c>
      <c r="K4" s="4">
        <f>H10/10000*7850</f>
        <v>18.51815</v>
      </c>
      <c r="L4" s="157" t="s">
        <v>165</v>
      </c>
    </row>
    <row r="5" spans="2:12" ht="12.75">
      <c r="B5" s="206" t="s">
        <v>263</v>
      </c>
      <c r="C5" s="55">
        <f>VLOOKUP(A3,A40:G58,5,FALSE)</f>
        <v>205</v>
      </c>
      <c r="D5" s="157" t="s">
        <v>8</v>
      </c>
      <c r="G5" s="156" t="s">
        <v>268</v>
      </c>
      <c r="H5" s="55">
        <f>VLOOKUP(F3,H!A2:P68,4,FALSE)</f>
        <v>200</v>
      </c>
      <c r="I5" s="155" t="s">
        <v>12</v>
      </c>
      <c r="J5" s="158" t="s">
        <v>275</v>
      </c>
      <c r="K5" s="55">
        <f>VLOOKUP(F3,H!A2:P68,11,FALSE)</f>
        <v>1880</v>
      </c>
      <c r="L5" s="157" t="s">
        <v>161</v>
      </c>
    </row>
    <row r="6" spans="2:12" ht="12.75">
      <c r="B6" s="206" t="s">
        <v>264</v>
      </c>
      <c r="C6" s="55">
        <f>VLOOKUP(A3,A40:G58,6,FALSE)</f>
        <v>120</v>
      </c>
      <c r="D6" s="157" t="s">
        <v>8</v>
      </c>
      <c r="G6" s="156" t="s">
        <v>269</v>
      </c>
      <c r="H6" s="55">
        <f>VLOOKUP(F3,H!A2:P68,5,FALSE)</f>
        <v>100</v>
      </c>
      <c r="I6" s="155" t="s">
        <v>12</v>
      </c>
      <c r="J6" s="158" t="s">
        <v>357</v>
      </c>
      <c r="K6" s="55">
        <f>VLOOKUP(F3,H!A2:P68,12,FALSE)</f>
        <v>188</v>
      </c>
      <c r="L6" s="157" t="s">
        <v>162</v>
      </c>
    </row>
    <row r="7" spans="2:12" ht="13.5" thickBot="1">
      <c r="B7" s="207" t="s">
        <v>265</v>
      </c>
      <c r="C7" s="68">
        <f>VLOOKUP(A3,A40:G58,7,FALSE)</f>
        <v>325</v>
      </c>
      <c r="D7" s="160" t="s">
        <v>8</v>
      </c>
      <c r="G7" s="156" t="s">
        <v>270</v>
      </c>
      <c r="H7" s="55">
        <f>VLOOKUP(F3,H!A2:P68,6,FALSE)</f>
        <v>5.5</v>
      </c>
      <c r="I7" s="155" t="s">
        <v>12</v>
      </c>
      <c r="J7" s="158" t="s">
        <v>277</v>
      </c>
      <c r="K7" s="55">
        <f>VLOOKUP(F3,H!A2:P68,13,FALSE)</f>
        <v>8.25</v>
      </c>
      <c r="L7" s="157" t="s">
        <v>163</v>
      </c>
    </row>
    <row r="8" spans="7:12" ht="12.75">
      <c r="G8" s="156" t="s">
        <v>271</v>
      </c>
      <c r="H8" s="55">
        <f>VLOOKUP(F3,H!A2:P68,7,FALSE)</f>
        <v>8</v>
      </c>
      <c r="I8" s="155" t="s">
        <v>12</v>
      </c>
      <c r="J8" s="158" t="s">
        <v>278</v>
      </c>
      <c r="K8" s="55">
        <f>VLOOKUP(F3,H!A2:P68,14,FALSE)</f>
        <v>134</v>
      </c>
      <c r="L8" s="157" t="s">
        <v>161</v>
      </c>
    </row>
    <row r="9" spans="7:12" ht="12.75">
      <c r="G9" s="156" t="s">
        <v>272</v>
      </c>
      <c r="H9" s="55">
        <f>VLOOKUP(F3,H!A2:P68,8,FALSE)</f>
        <v>13</v>
      </c>
      <c r="I9" s="155" t="s">
        <v>12</v>
      </c>
      <c r="J9" s="158" t="s">
        <v>279</v>
      </c>
      <c r="K9" s="55">
        <f>VLOOKUP(F3,H!A2:P68,15,FALSE)</f>
        <v>26.8</v>
      </c>
      <c r="L9" s="157" t="s">
        <v>162</v>
      </c>
    </row>
    <row r="10" spans="7:12" ht="13.5" thickBot="1">
      <c r="G10" s="159" t="s">
        <v>273</v>
      </c>
      <c r="H10" s="68">
        <f>VLOOKUP(F3,H!A2:P68,9,FALSE)</f>
        <v>23.59</v>
      </c>
      <c r="I10" s="161" t="s">
        <v>164</v>
      </c>
      <c r="J10" s="162" t="s">
        <v>280</v>
      </c>
      <c r="K10" s="68">
        <f>VLOOKUP(F3,H!A2:P68,16,FALSE)</f>
        <v>2.21</v>
      </c>
      <c r="L10" s="160" t="s">
        <v>163</v>
      </c>
    </row>
    <row r="12" ht="13.5" thickBot="1"/>
    <row r="13" spans="1:13" ht="15">
      <c r="A13" s="69" t="s">
        <v>166</v>
      </c>
      <c r="B13" s="210" t="s">
        <v>281</v>
      </c>
      <c r="C13" s="147"/>
      <c r="D13" s="149"/>
      <c r="E13" s="164"/>
      <c r="F13" s="149"/>
      <c r="G13" s="149"/>
      <c r="H13" s="150"/>
      <c r="I13" s="69" t="s">
        <v>187</v>
      </c>
      <c r="J13" s="211" t="s">
        <v>282</v>
      </c>
      <c r="K13" s="149"/>
      <c r="L13" s="149"/>
      <c r="M13" s="150"/>
    </row>
    <row r="14" spans="2:13" ht="15">
      <c r="B14" s="156" t="s">
        <v>167</v>
      </c>
      <c r="C14" s="61">
        <v>350</v>
      </c>
      <c r="D14" s="165" t="s">
        <v>171</v>
      </c>
      <c r="E14" s="166"/>
      <c r="F14" s="167" t="s">
        <v>207</v>
      </c>
      <c r="G14" s="71">
        <f>C14*1000000/C17/K6/1000+C15*1000000/C18/K9/1000</f>
        <v>11190.060336614797</v>
      </c>
      <c r="H14" s="157" t="s">
        <v>19</v>
      </c>
      <c r="J14" s="168" t="s">
        <v>2</v>
      </c>
      <c r="K14" s="95">
        <v>250</v>
      </c>
      <c r="L14" s="155" t="s">
        <v>152</v>
      </c>
      <c r="M14" s="169"/>
    </row>
    <row r="15" spans="2:13" ht="15.75" thickBot="1">
      <c r="B15" s="156" t="s">
        <v>168</v>
      </c>
      <c r="C15" s="61">
        <v>250</v>
      </c>
      <c r="D15" s="165" t="s">
        <v>172</v>
      </c>
      <c r="E15" s="170"/>
      <c r="F15" s="72" t="str">
        <f>IF(G14&lt;=C5,"&lt;=","&gt;")</f>
        <v>&gt;</v>
      </c>
      <c r="G15" s="55" t="str">
        <f>"f="&amp;C5</f>
        <v>f=205</v>
      </c>
      <c r="H15" s="157" t="s">
        <v>19</v>
      </c>
      <c r="J15" s="171" t="s">
        <v>204</v>
      </c>
      <c r="K15" s="96">
        <v>1</v>
      </c>
      <c r="L15" s="172"/>
      <c r="M15" s="173"/>
    </row>
    <row r="16" spans="2:13" ht="15">
      <c r="B16" s="174"/>
      <c r="C16" s="70"/>
      <c r="D16" s="175"/>
      <c r="E16" s="176"/>
      <c r="F16" s="175"/>
      <c r="G16" s="175"/>
      <c r="H16" s="177"/>
      <c r="J16" s="178" t="s">
        <v>205</v>
      </c>
      <c r="K16" s="85">
        <f>L17+5*L18+2*L19</f>
        <v>115</v>
      </c>
      <c r="L16" s="147" t="s">
        <v>209</v>
      </c>
      <c r="M16" s="150"/>
    </row>
    <row r="17" spans="2:13" ht="15">
      <c r="B17" s="156" t="s">
        <v>169</v>
      </c>
      <c r="C17" s="61">
        <v>1</v>
      </c>
      <c r="D17" s="179"/>
      <c r="E17" s="176"/>
      <c r="F17" s="180"/>
      <c r="G17" s="180"/>
      <c r="H17" s="181"/>
      <c r="J17" s="182"/>
      <c r="K17" s="167" t="s">
        <v>206</v>
      </c>
      <c r="L17" s="93">
        <v>10</v>
      </c>
      <c r="M17" s="157" t="s">
        <v>210</v>
      </c>
    </row>
    <row r="18" spans="2:13" ht="15.75" thickBot="1">
      <c r="B18" s="159" t="s">
        <v>170</v>
      </c>
      <c r="C18" s="92">
        <v>1</v>
      </c>
      <c r="D18" s="183"/>
      <c r="E18" s="184"/>
      <c r="F18" s="185"/>
      <c r="G18" s="185"/>
      <c r="H18" s="186"/>
      <c r="J18" s="213" t="s">
        <v>211</v>
      </c>
      <c r="K18" s="167" t="s">
        <v>213</v>
      </c>
      <c r="L18" s="93">
        <f>H8+H9</f>
        <v>21</v>
      </c>
      <c r="M18" s="157" t="s">
        <v>209</v>
      </c>
    </row>
    <row r="19" spans="10:13" ht="13.5" thickBot="1">
      <c r="J19" s="188"/>
      <c r="K19" s="189" t="s">
        <v>212</v>
      </c>
      <c r="L19" s="94">
        <v>0</v>
      </c>
      <c r="M19" s="160" t="s">
        <v>209</v>
      </c>
    </row>
    <row r="20" spans="1:13" ht="15">
      <c r="A20" s="69" t="s">
        <v>173</v>
      </c>
      <c r="B20" s="212" t="s">
        <v>283</v>
      </c>
      <c r="C20" s="147"/>
      <c r="D20" s="149"/>
      <c r="E20" s="190"/>
      <c r="F20" s="149"/>
      <c r="G20" s="149"/>
      <c r="H20" s="150"/>
      <c r="J20" s="178" t="s">
        <v>208</v>
      </c>
      <c r="K20" s="86">
        <f>K14*1000*K15/H7/K16</f>
        <v>395.25691699604744</v>
      </c>
      <c r="L20" s="149" t="s">
        <v>19</v>
      </c>
      <c r="M20" s="150"/>
    </row>
    <row r="21" spans="2:13" ht="15.75" thickBot="1">
      <c r="B21" s="156" t="s">
        <v>174</v>
      </c>
      <c r="C21" s="61">
        <v>450</v>
      </c>
      <c r="D21" s="165" t="s">
        <v>175</v>
      </c>
      <c r="E21" s="170"/>
      <c r="F21" s="167" t="s">
        <v>178</v>
      </c>
      <c r="G21" s="4">
        <f>C21*1000*C28*1000/K5/10000/H7</f>
        <v>435.53384912959376</v>
      </c>
      <c r="H21" s="157" t="s">
        <v>19</v>
      </c>
      <c r="J21" s="87" t="str">
        <f>IF(K20&lt;=C5,"&lt;=","&gt;")</f>
        <v>&gt;</v>
      </c>
      <c r="K21" s="68" t="str">
        <f>"f="&amp;C5</f>
        <v>f=205</v>
      </c>
      <c r="L21" s="172" t="s">
        <v>19</v>
      </c>
      <c r="M21" s="173"/>
    </row>
    <row r="22" spans="2:8" ht="12.75">
      <c r="B22" s="158" t="s">
        <v>179</v>
      </c>
      <c r="C22" s="191">
        <f>H6*H8/100</f>
        <v>8</v>
      </c>
      <c r="D22" s="165" t="s">
        <v>176</v>
      </c>
      <c r="E22" s="192"/>
      <c r="F22" s="73" t="str">
        <f>IF(G21&lt;=C6,"&lt;=","&gt;")</f>
        <v>&gt;</v>
      </c>
      <c r="G22" s="74" t="str">
        <f>"τ="&amp;C6</f>
        <v>τ=120</v>
      </c>
      <c r="H22" s="169" t="s">
        <v>19</v>
      </c>
    </row>
    <row r="23" spans="2:8" ht="12.75">
      <c r="B23" s="158" t="s">
        <v>180</v>
      </c>
      <c r="C23" s="191">
        <f>(H5/2-H8/2)/10</f>
        <v>9.6</v>
      </c>
      <c r="D23" s="165" t="s">
        <v>177</v>
      </c>
      <c r="E23" s="192"/>
      <c r="F23" s="180"/>
      <c r="G23" s="180"/>
      <c r="H23" s="181"/>
    </row>
    <row r="24" spans="2:8" ht="13.5" thickBot="1">
      <c r="B24" s="162" t="s">
        <v>181</v>
      </c>
      <c r="C24" s="193">
        <f>C22*C23</f>
        <v>76.8</v>
      </c>
      <c r="D24" s="194" t="s">
        <v>18</v>
      </c>
      <c r="E24" s="384" t="s">
        <v>284</v>
      </c>
      <c r="F24" s="385"/>
      <c r="G24" s="386"/>
      <c r="H24" s="157"/>
    </row>
    <row r="25" spans="2:8" ht="12.75">
      <c r="B25" s="195" t="s">
        <v>182</v>
      </c>
      <c r="C25" s="196">
        <f>(H5/2-H8)*H7/100</f>
        <v>5.06</v>
      </c>
      <c r="D25" s="197" t="s">
        <v>183</v>
      </c>
      <c r="E25" s="382" t="s">
        <v>188</v>
      </c>
      <c r="F25" s="382"/>
      <c r="G25" s="191">
        <f>H7*(H5-2*H8)</f>
        <v>1012</v>
      </c>
      <c r="H25" s="157" t="s">
        <v>189</v>
      </c>
    </row>
    <row r="26" spans="2:8" ht="12.75">
      <c r="B26" s="158" t="s">
        <v>185</v>
      </c>
      <c r="C26" s="191">
        <f>(H5/2-H8)/2/10</f>
        <v>4.6</v>
      </c>
      <c r="D26" s="198" t="s">
        <v>163</v>
      </c>
      <c r="E26" s="199"/>
      <c r="F26" s="200" t="s">
        <v>178</v>
      </c>
      <c r="G26" s="201">
        <f>C21*1000/G25</f>
        <v>444.6640316205534</v>
      </c>
      <c r="H26" s="157" t="s">
        <v>190</v>
      </c>
    </row>
    <row r="27" spans="2:8" ht="12.75">
      <c r="B27" s="158" t="s">
        <v>184</v>
      </c>
      <c r="C27" s="201">
        <f>C25*C26</f>
        <v>23.275999999999996</v>
      </c>
      <c r="D27" s="198" t="s">
        <v>162</v>
      </c>
      <c r="E27" s="199"/>
      <c r="F27" s="152"/>
      <c r="G27" s="202"/>
      <c r="H27" s="169"/>
    </row>
    <row r="28" spans="2:8" ht="13.5" thickBot="1">
      <c r="B28" s="162" t="s">
        <v>186</v>
      </c>
      <c r="C28" s="203">
        <f>C24+C27</f>
        <v>100.076</v>
      </c>
      <c r="D28" s="204" t="s">
        <v>162</v>
      </c>
      <c r="E28" s="383" t="s">
        <v>285</v>
      </c>
      <c r="F28" s="383"/>
      <c r="G28" s="193">
        <f>G21/G26</f>
        <v>0.9794672340425531</v>
      </c>
      <c r="H28" s="160"/>
    </row>
    <row r="39" spans="1:7" ht="12.75">
      <c r="A39" s="84"/>
      <c r="B39" s="75"/>
      <c r="C39" s="214" t="s">
        <v>286</v>
      </c>
      <c r="D39" s="214" t="s">
        <v>287</v>
      </c>
      <c r="E39" s="76" t="s">
        <v>191</v>
      </c>
      <c r="F39" s="76" t="s">
        <v>192</v>
      </c>
      <c r="G39" s="76" t="s">
        <v>193</v>
      </c>
    </row>
    <row r="40" spans="1:7" ht="12.75">
      <c r="A40" s="84">
        <v>1</v>
      </c>
      <c r="B40" s="77" t="str">
        <f>C40&amp;"  "&amp;D40</f>
        <v>Q235  &lt;=16</v>
      </c>
      <c r="C40" s="78" t="s">
        <v>194</v>
      </c>
      <c r="D40" s="76" t="s">
        <v>195</v>
      </c>
      <c r="E40" s="76">
        <v>215</v>
      </c>
      <c r="F40" s="76">
        <v>125</v>
      </c>
      <c r="G40" s="76">
        <v>325</v>
      </c>
    </row>
    <row r="41" spans="1:7" ht="12.75">
      <c r="A41" s="84">
        <v>2</v>
      </c>
      <c r="B41" s="77" t="str">
        <f>C40&amp;"  "&amp;D41</f>
        <v>Q235  &gt;16~40</v>
      </c>
      <c r="C41" s="79"/>
      <c r="D41" s="76" t="s">
        <v>196</v>
      </c>
      <c r="E41" s="76">
        <v>205</v>
      </c>
      <c r="F41" s="76">
        <v>120</v>
      </c>
      <c r="G41" s="76">
        <v>325</v>
      </c>
    </row>
    <row r="42" spans="1:7" ht="12.75">
      <c r="A42" s="84">
        <v>3</v>
      </c>
      <c r="B42" s="77" t="str">
        <f>C40&amp;"  "&amp;D42</f>
        <v>Q235  &gt;40~60</v>
      </c>
      <c r="C42" s="79"/>
      <c r="D42" s="76" t="s">
        <v>197</v>
      </c>
      <c r="E42" s="76">
        <v>200</v>
      </c>
      <c r="F42" s="76">
        <v>115</v>
      </c>
      <c r="G42" s="76">
        <v>325</v>
      </c>
    </row>
    <row r="43" spans="1:7" ht="12.75">
      <c r="A43" s="84">
        <v>4</v>
      </c>
      <c r="B43" s="77" t="str">
        <f>C40&amp;"  "&amp;D43</f>
        <v>Q235  &gt;60~100</v>
      </c>
      <c r="C43" s="80"/>
      <c r="D43" s="76" t="s">
        <v>198</v>
      </c>
      <c r="E43" s="76">
        <v>190</v>
      </c>
      <c r="F43" s="76">
        <v>110</v>
      </c>
      <c r="G43" s="76">
        <v>325</v>
      </c>
    </row>
    <row r="44" spans="1:7" ht="12.75">
      <c r="A44" s="84">
        <v>5</v>
      </c>
      <c r="B44" s="81" t="str">
        <f>C41&amp;"  "&amp;D44</f>
        <v>  </v>
      </c>
      <c r="C44" s="82"/>
      <c r="D44" s="82"/>
      <c r="E44" s="82"/>
      <c r="F44" s="82"/>
      <c r="G44" s="83"/>
    </row>
    <row r="45" spans="1:7" ht="12.75">
      <c r="A45" s="84">
        <v>6</v>
      </c>
      <c r="B45" s="77" t="str">
        <f>C45&amp;"  "&amp;D45</f>
        <v>Q345  &lt;=16</v>
      </c>
      <c r="C45" s="78" t="s">
        <v>199</v>
      </c>
      <c r="D45" s="76" t="s">
        <v>195</v>
      </c>
      <c r="E45" s="76">
        <v>310</v>
      </c>
      <c r="F45" s="76">
        <v>180</v>
      </c>
      <c r="G45" s="76">
        <v>400</v>
      </c>
    </row>
    <row r="46" spans="1:7" ht="12.75">
      <c r="A46" s="84">
        <v>7</v>
      </c>
      <c r="B46" s="77" t="str">
        <f>C45&amp;"  "&amp;D46</f>
        <v>Q345  &gt;16~35</v>
      </c>
      <c r="C46" s="79"/>
      <c r="D46" s="76" t="s">
        <v>200</v>
      </c>
      <c r="E46" s="76">
        <v>295</v>
      </c>
      <c r="F46" s="76">
        <v>170</v>
      </c>
      <c r="G46" s="76">
        <v>400</v>
      </c>
    </row>
    <row r="47" spans="1:7" ht="12.75">
      <c r="A47" s="84">
        <v>8</v>
      </c>
      <c r="B47" s="77" t="str">
        <f>C45&amp;"  "&amp;D47</f>
        <v>Q345  &gt;35~50</v>
      </c>
      <c r="C47" s="79"/>
      <c r="D47" s="76" t="s">
        <v>201</v>
      </c>
      <c r="E47" s="76">
        <v>265</v>
      </c>
      <c r="F47" s="76">
        <v>155</v>
      </c>
      <c r="G47" s="76">
        <v>400</v>
      </c>
    </row>
    <row r="48" spans="1:7" ht="12.75">
      <c r="A48" s="84">
        <v>9</v>
      </c>
      <c r="B48" s="77" t="str">
        <f>C45&amp;"  "&amp;D48</f>
        <v>Q345  &gt;50~100</v>
      </c>
      <c r="C48" s="80"/>
      <c r="D48" s="76" t="s">
        <v>202</v>
      </c>
      <c r="E48" s="76">
        <v>250</v>
      </c>
      <c r="F48" s="76">
        <v>145</v>
      </c>
      <c r="G48" s="76">
        <v>400</v>
      </c>
    </row>
    <row r="49" spans="1:7" ht="12.75">
      <c r="A49" s="84">
        <v>10</v>
      </c>
      <c r="B49" s="81" t="str">
        <f>C46&amp;"  "&amp;D49</f>
        <v>  </v>
      </c>
      <c r="C49" s="82"/>
      <c r="D49" s="82"/>
      <c r="E49" s="82"/>
      <c r="F49" s="82"/>
      <c r="G49" s="83"/>
    </row>
    <row r="50" spans="1:7" ht="12.75">
      <c r="A50" s="84">
        <v>11</v>
      </c>
      <c r="B50" s="77" t="str">
        <f>C50&amp;"  "&amp;D50</f>
        <v>Q390  &lt;=16</v>
      </c>
      <c r="C50" s="78" t="s">
        <v>203</v>
      </c>
      <c r="D50" s="76" t="s">
        <v>195</v>
      </c>
      <c r="E50" s="76">
        <v>350</v>
      </c>
      <c r="F50" s="76">
        <v>205</v>
      </c>
      <c r="G50" s="76">
        <v>415</v>
      </c>
    </row>
    <row r="51" spans="1:7" ht="12.75">
      <c r="A51" s="84">
        <v>12</v>
      </c>
      <c r="B51" s="77" t="str">
        <f>C50&amp;"  "&amp;D51</f>
        <v>Q390  &gt;16~35</v>
      </c>
      <c r="C51" s="79"/>
      <c r="D51" s="76" t="s">
        <v>200</v>
      </c>
      <c r="E51" s="76">
        <v>335</v>
      </c>
      <c r="F51" s="76">
        <v>190</v>
      </c>
      <c r="G51" s="76">
        <v>415</v>
      </c>
    </row>
    <row r="52" spans="1:7" ht="12.75">
      <c r="A52" s="84">
        <v>13</v>
      </c>
      <c r="B52" s="77" t="str">
        <f>C50&amp;"  "&amp;D52</f>
        <v>Q390  &gt;35~50</v>
      </c>
      <c r="C52" s="79"/>
      <c r="D52" s="76" t="s">
        <v>201</v>
      </c>
      <c r="E52" s="76">
        <v>315</v>
      </c>
      <c r="F52" s="76">
        <v>180</v>
      </c>
      <c r="G52" s="76">
        <v>415</v>
      </c>
    </row>
    <row r="53" spans="1:7" ht="12.75">
      <c r="A53" s="84">
        <v>14</v>
      </c>
      <c r="B53" s="77" t="str">
        <f>C50&amp;"  "&amp;D53</f>
        <v>Q390  &gt;50~100</v>
      </c>
      <c r="C53" s="80"/>
      <c r="D53" s="76" t="s">
        <v>202</v>
      </c>
      <c r="E53" s="76">
        <v>295</v>
      </c>
      <c r="F53" s="76">
        <v>170</v>
      </c>
      <c r="G53" s="76">
        <v>415</v>
      </c>
    </row>
    <row r="54" spans="1:7" ht="12.75">
      <c r="A54" s="84">
        <v>15</v>
      </c>
      <c r="B54" s="81" t="str">
        <f>C51&amp;"  "&amp;D54</f>
        <v>  </v>
      </c>
      <c r="C54" s="82"/>
      <c r="D54" s="82"/>
      <c r="E54" s="82"/>
      <c r="F54" s="82"/>
      <c r="G54" s="83"/>
    </row>
    <row r="55" spans="1:7" ht="12.75">
      <c r="A55" s="84">
        <v>16</v>
      </c>
      <c r="B55" s="77" t="str">
        <f>C55&amp;"  "&amp;D55</f>
        <v>Q345  &lt;=16</v>
      </c>
      <c r="C55" s="78" t="s">
        <v>199</v>
      </c>
      <c r="D55" s="76" t="s">
        <v>195</v>
      </c>
      <c r="E55" s="76">
        <v>380</v>
      </c>
      <c r="F55" s="76">
        <v>220</v>
      </c>
      <c r="G55" s="76">
        <v>440</v>
      </c>
    </row>
    <row r="56" spans="1:7" ht="12.75">
      <c r="A56" s="84">
        <v>17</v>
      </c>
      <c r="B56" s="77" t="str">
        <f>C55&amp;"  "&amp;D56</f>
        <v>Q345  &gt;16~35</v>
      </c>
      <c r="C56" s="79"/>
      <c r="D56" s="76" t="s">
        <v>200</v>
      </c>
      <c r="E56" s="76">
        <v>360</v>
      </c>
      <c r="F56" s="76">
        <v>210</v>
      </c>
      <c r="G56" s="76">
        <v>440</v>
      </c>
    </row>
    <row r="57" spans="1:7" ht="12.75">
      <c r="A57" s="84">
        <v>18</v>
      </c>
      <c r="B57" s="77" t="str">
        <f>C55&amp;"  "&amp;D57</f>
        <v>Q345  &gt;35~50</v>
      </c>
      <c r="C57" s="79"/>
      <c r="D57" s="76" t="s">
        <v>201</v>
      </c>
      <c r="E57" s="76">
        <v>340</v>
      </c>
      <c r="F57" s="76">
        <v>195</v>
      </c>
      <c r="G57" s="76">
        <v>440</v>
      </c>
    </row>
    <row r="58" spans="1:7" ht="12.75">
      <c r="A58" s="84">
        <v>19</v>
      </c>
      <c r="B58" s="77" t="str">
        <f>C55&amp;"  "&amp;D58</f>
        <v>Q345  &gt;50~100</v>
      </c>
      <c r="C58" s="80"/>
      <c r="D58" s="76" t="s">
        <v>202</v>
      </c>
      <c r="E58" s="76">
        <v>325</v>
      </c>
      <c r="F58" s="76">
        <v>185</v>
      </c>
      <c r="G58" s="76">
        <v>440</v>
      </c>
    </row>
  </sheetData>
  <sheetProtection password="F3E5" sheet="1" objects="1" scenarios="1" selectLockedCells="1"/>
  <mergeCells count="4">
    <mergeCell ref="E25:F25"/>
    <mergeCell ref="E28:F28"/>
    <mergeCell ref="E24:G24"/>
    <mergeCell ref="A1:B1"/>
  </mergeCells>
  <conditionalFormatting sqref="G14 K20">
    <cfRule type="cellIs" priority="1" dxfId="0" operator="greaterThan" stopIfTrue="1">
      <formula>$C$5</formula>
    </cfRule>
  </conditionalFormatting>
  <hyperlinks>
    <hyperlink ref="A1" r:id="rId1" display="www.machinemfg.com"/>
  </hyperlink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5"/>
  <dimension ref="A1:R68"/>
  <sheetViews>
    <sheetView showGridLines="0" zoomScaleSheetLayoutView="100" zoomScalePageLayoutView="0" workbookViewId="0" topLeftCell="A1">
      <pane xSplit="1" ySplit="1" topLeftCell="H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S6" sqref="S6"/>
    </sheetView>
  </sheetViews>
  <sheetFormatPr defaultColWidth="10.28125" defaultRowHeight="12.75"/>
  <cols>
    <col min="1" max="1" width="3.7109375" style="366" bestFit="1" customWidth="1"/>
    <col min="2" max="2" width="18.7109375" style="376" bestFit="1" customWidth="1"/>
    <col min="3" max="3" width="10.7109375" style="376" bestFit="1" customWidth="1"/>
    <col min="4" max="4" width="6.28125" style="376" bestFit="1" customWidth="1"/>
    <col min="5" max="5" width="7.421875" style="376" bestFit="1" customWidth="1"/>
    <col min="6" max="7" width="9.421875" style="376" bestFit="1" customWidth="1"/>
    <col min="8" max="8" width="6.421875" style="376" customWidth="1"/>
    <col min="9" max="9" width="12.140625" style="376" customWidth="1"/>
    <col min="10" max="10" width="13.140625" style="376" bestFit="1" customWidth="1"/>
    <col min="11" max="12" width="9.7109375" style="376" bestFit="1" customWidth="1"/>
    <col min="13" max="13" width="9.140625" style="377" customWidth="1"/>
    <col min="14" max="16384" width="10.28125" style="366" customWidth="1"/>
  </cols>
  <sheetData>
    <row r="1" spans="1:18" ht="12.75">
      <c r="A1" s="361"/>
      <c r="B1" s="362" t="s">
        <v>90</v>
      </c>
      <c r="C1" s="363" t="s">
        <v>352</v>
      </c>
      <c r="D1" s="363" t="s">
        <v>20</v>
      </c>
      <c r="E1" s="363" t="s">
        <v>21</v>
      </c>
      <c r="F1" s="363" t="s">
        <v>353</v>
      </c>
      <c r="G1" s="363" t="s">
        <v>354</v>
      </c>
      <c r="H1" s="363" t="s">
        <v>28</v>
      </c>
      <c r="I1" s="378" t="s">
        <v>355</v>
      </c>
      <c r="J1" s="378" t="s">
        <v>356</v>
      </c>
      <c r="K1" s="363" t="s">
        <v>22</v>
      </c>
      <c r="L1" s="363" t="s">
        <v>23</v>
      </c>
      <c r="M1" s="364" t="s">
        <v>157</v>
      </c>
      <c r="N1" s="363" t="s">
        <v>158</v>
      </c>
      <c r="O1" s="365" t="s">
        <v>159</v>
      </c>
      <c r="P1" s="363" t="s">
        <v>160</v>
      </c>
      <c r="Q1" s="417" t="s">
        <v>366</v>
      </c>
      <c r="R1" s="418"/>
    </row>
    <row r="2" spans="1:16" ht="12.75">
      <c r="A2" s="361">
        <v>1</v>
      </c>
      <c r="B2" s="362" t="str">
        <f>C2&amp;"x"&amp;F2&amp;"x"&amp;G2</f>
        <v>HW100x100x6x8</v>
      </c>
      <c r="C2" s="367" t="s">
        <v>88</v>
      </c>
      <c r="D2" s="368">
        <v>100</v>
      </c>
      <c r="E2" s="368">
        <v>100</v>
      </c>
      <c r="F2" s="368">
        <v>6</v>
      </c>
      <c r="G2" s="368">
        <v>8</v>
      </c>
      <c r="H2" s="368">
        <v>10</v>
      </c>
      <c r="I2" s="368">
        <v>21.9</v>
      </c>
      <c r="J2" s="368">
        <v>17.2</v>
      </c>
      <c r="K2" s="368">
        <v>383</v>
      </c>
      <c r="L2" s="368">
        <v>76.5</v>
      </c>
      <c r="M2" s="369">
        <f>SQRT(K2/I2)</f>
        <v>4.181935493869537</v>
      </c>
      <c r="N2" s="368">
        <v>134</v>
      </c>
      <c r="O2" s="368">
        <v>26.7</v>
      </c>
      <c r="P2" s="368">
        <v>2.47</v>
      </c>
    </row>
    <row r="3" spans="1:16" ht="12.75">
      <c r="A3" s="361">
        <v>2</v>
      </c>
      <c r="B3" s="362" t="str">
        <f aca="true" t="shared" si="0" ref="B3:B66">C3&amp;"x"&amp;F3&amp;"x"&amp;G3</f>
        <v>HW125x125x6.5x9</v>
      </c>
      <c r="C3" s="367" t="s">
        <v>89</v>
      </c>
      <c r="D3" s="368">
        <v>125</v>
      </c>
      <c r="E3" s="368">
        <v>125</v>
      </c>
      <c r="F3" s="368">
        <v>6.5</v>
      </c>
      <c r="G3" s="368">
        <v>9</v>
      </c>
      <c r="H3" s="368">
        <v>10</v>
      </c>
      <c r="I3" s="368">
        <v>30.31</v>
      </c>
      <c r="J3" s="368">
        <v>23.8</v>
      </c>
      <c r="K3" s="368">
        <v>847</v>
      </c>
      <c r="L3" s="368">
        <v>136</v>
      </c>
      <c r="M3" s="369">
        <f aca="true" t="shared" si="1" ref="M3:M22">SQRT(K3/I3)</f>
        <v>5.28626264465434</v>
      </c>
      <c r="N3" s="368">
        <v>294</v>
      </c>
      <c r="O3" s="368">
        <v>47</v>
      </c>
      <c r="P3" s="368">
        <v>3.11</v>
      </c>
    </row>
    <row r="4" spans="1:16" ht="12.75">
      <c r="A4" s="361">
        <v>3</v>
      </c>
      <c r="B4" s="362" t="str">
        <f t="shared" si="0"/>
        <v>HW150x150x7x10</v>
      </c>
      <c r="C4" s="367" t="s">
        <v>24</v>
      </c>
      <c r="D4" s="368">
        <v>150</v>
      </c>
      <c r="E4" s="368">
        <v>150</v>
      </c>
      <c r="F4" s="368">
        <v>7</v>
      </c>
      <c r="G4" s="368">
        <v>10</v>
      </c>
      <c r="H4" s="368">
        <v>13</v>
      </c>
      <c r="I4" s="368">
        <v>40.55</v>
      </c>
      <c r="J4" s="368">
        <v>31.9</v>
      </c>
      <c r="K4" s="368">
        <v>1660</v>
      </c>
      <c r="L4" s="368">
        <v>221</v>
      </c>
      <c r="M4" s="369">
        <v>6.39</v>
      </c>
      <c r="N4" s="368">
        <v>564</v>
      </c>
      <c r="O4" s="368">
        <v>75.1</v>
      </c>
      <c r="P4" s="368">
        <v>3.73</v>
      </c>
    </row>
    <row r="5" spans="1:16" ht="12.75">
      <c r="A5" s="361">
        <v>4</v>
      </c>
      <c r="B5" s="362" t="str">
        <f t="shared" si="0"/>
        <v>HW175x175x7.5x11</v>
      </c>
      <c r="C5" s="367" t="s">
        <v>25</v>
      </c>
      <c r="D5" s="368">
        <v>175</v>
      </c>
      <c r="E5" s="368">
        <v>175</v>
      </c>
      <c r="F5" s="368">
        <v>7.5</v>
      </c>
      <c r="G5" s="368">
        <v>11</v>
      </c>
      <c r="H5" s="368">
        <v>13</v>
      </c>
      <c r="I5" s="368">
        <v>51.43</v>
      </c>
      <c r="J5" s="368">
        <v>40.3</v>
      </c>
      <c r="K5" s="368">
        <v>2900</v>
      </c>
      <c r="L5" s="368">
        <v>331</v>
      </c>
      <c r="M5" s="369">
        <v>7.5</v>
      </c>
      <c r="N5" s="368">
        <v>984</v>
      </c>
      <c r="O5" s="368">
        <v>112</v>
      </c>
      <c r="P5" s="368">
        <v>4.37</v>
      </c>
    </row>
    <row r="6" spans="1:16" ht="12.75">
      <c r="A6" s="361">
        <v>5</v>
      </c>
      <c r="B6" s="362" t="str">
        <f t="shared" si="0"/>
        <v>HW200x200x8x12</v>
      </c>
      <c r="C6" s="367" t="s">
        <v>26</v>
      </c>
      <c r="D6" s="368">
        <v>200</v>
      </c>
      <c r="E6" s="368">
        <v>200</v>
      </c>
      <c r="F6" s="368">
        <v>8</v>
      </c>
      <c r="G6" s="368">
        <v>12</v>
      </c>
      <c r="H6" s="368">
        <v>16</v>
      </c>
      <c r="I6" s="368">
        <v>64.28</v>
      </c>
      <c r="J6" s="368">
        <v>50.5</v>
      </c>
      <c r="K6" s="368">
        <v>4770</v>
      </c>
      <c r="L6" s="368">
        <v>477</v>
      </c>
      <c r="M6" s="369">
        <f t="shared" si="1"/>
        <v>8.614325054342869</v>
      </c>
      <c r="N6" s="368">
        <v>1600</v>
      </c>
      <c r="O6" s="368">
        <v>160</v>
      </c>
      <c r="P6" s="368">
        <v>4.99</v>
      </c>
    </row>
    <row r="7" spans="1:16" ht="12" customHeight="1">
      <c r="A7" s="361">
        <v>6</v>
      </c>
      <c r="B7" s="362" t="str">
        <f t="shared" si="0"/>
        <v>HW200x204x12x12</v>
      </c>
      <c r="C7" s="368" t="s">
        <v>41</v>
      </c>
      <c r="D7" s="368">
        <v>200</v>
      </c>
      <c r="E7" s="368">
        <v>204</v>
      </c>
      <c r="F7" s="368">
        <v>12</v>
      </c>
      <c r="G7" s="368">
        <v>12</v>
      </c>
      <c r="H7" s="368">
        <v>16</v>
      </c>
      <c r="I7" s="368">
        <v>72.28</v>
      </c>
      <c r="J7" s="368">
        <v>56.7</v>
      </c>
      <c r="K7" s="368">
        <v>5030</v>
      </c>
      <c r="L7" s="368">
        <v>503</v>
      </c>
      <c r="M7" s="369">
        <v>8.35</v>
      </c>
      <c r="N7" s="368">
        <v>1700</v>
      </c>
      <c r="O7" s="368">
        <v>167</v>
      </c>
      <c r="P7" s="368">
        <v>4.85</v>
      </c>
    </row>
    <row r="8" spans="1:16" ht="12.75">
      <c r="A8" s="361">
        <v>7</v>
      </c>
      <c r="B8" s="362" t="str">
        <f t="shared" si="0"/>
        <v>HW250x250x9x14</v>
      </c>
      <c r="C8" s="367" t="s">
        <v>27</v>
      </c>
      <c r="D8" s="368">
        <v>250</v>
      </c>
      <c r="E8" s="368">
        <v>250</v>
      </c>
      <c r="F8" s="368">
        <v>9</v>
      </c>
      <c r="G8" s="368">
        <v>14</v>
      </c>
      <c r="H8" s="368">
        <v>16</v>
      </c>
      <c r="I8" s="368">
        <v>92.18</v>
      </c>
      <c r="J8" s="368">
        <v>72.4</v>
      </c>
      <c r="K8" s="368">
        <v>10800</v>
      </c>
      <c r="L8" s="368">
        <v>867</v>
      </c>
      <c r="M8" s="369">
        <f t="shared" si="1"/>
        <v>10.824143116323203</v>
      </c>
      <c r="N8" s="368">
        <v>3650</v>
      </c>
      <c r="O8" s="368">
        <v>292</v>
      </c>
      <c r="P8" s="368">
        <v>6.29</v>
      </c>
    </row>
    <row r="9" spans="1:16" ht="12" customHeight="1">
      <c r="A9" s="361">
        <v>8</v>
      </c>
      <c r="B9" s="362" t="str">
        <f t="shared" si="0"/>
        <v>HW250x255x14x14</v>
      </c>
      <c r="C9" s="368" t="s">
        <v>42</v>
      </c>
      <c r="D9" s="368">
        <v>250</v>
      </c>
      <c r="E9" s="368">
        <v>255</v>
      </c>
      <c r="F9" s="368">
        <v>14</v>
      </c>
      <c r="G9" s="368">
        <v>14</v>
      </c>
      <c r="H9" s="368">
        <v>16</v>
      </c>
      <c r="I9" s="368">
        <v>104.7</v>
      </c>
      <c r="J9" s="368">
        <v>82.2</v>
      </c>
      <c r="K9" s="368">
        <v>11500</v>
      </c>
      <c r="L9" s="368">
        <v>919</v>
      </c>
      <c r="M9" s="369">
        <f t="shared" si="1"/>
        <v>10.480345000409226</v>
      </c>
      <c r="N9" s="368">
        <v>3880</v>
      </c>
      <c r="O9" s="368">
        <v>304</v>
      </c>
      <c r="P9" s="368">
        <v>6.09</v>
      </c>
    </row>
    <row r="10" spans="1:16" ht="12.75">
      <c r="A10" s="361">
        <v>9</v>
      </c>
      <c r="B10" s="362" t="str">
        <f t="shared" si="0"/>
        <v>HW294x302x12x12</v>
      </c>
      <c r="C10" s="367" t="s">
        <v>43</v>
      </c>
      <c r="D10" s="368">
        <v>294</v>
      </c>
      <c r="E10" s="368">
        <v>302</v>
      </c>
      <c r="F10" s="368">
        <v>12</v>
      </c>
      <c r="G10" s="368">
        <v>12</v>
      </c>
      <c r="H10" s="368">
        <v>20</v>
      </c>
      <c r="I10" s="368">
        <v>108.3</v>
      </c>
      <c r="J10" s="368">
        <v>85</v>
      </c>
      <c r="K10" s="368">
        <v>17000</v>
      </c>
      <c r="L10" s="368">
        <v>1160</v>
      </c>
      <c r="M10" s="369">
        <f t="shared" si="1"/>
        <v>12.52882180446114</v>
      </c>
      <c r="N10" s="368">
        <v>5520</v>
      </c>
      <c r="O10" s="368">
        <v>365</v>
      </c>
      <c r="P10" s="368">
        <v>7.14</v>
      </c>
    </row>
    <row r="11" spans="1:16" ht="12" customHeight="1">
      <c r="A11" s="361">
        <v>10</v>
      </c>
      <c r="B11" s="362" t="str">
        <f t="shared" si="0"/>
        <v>HW300x300x10x15</v>
      </c>
      <c r="C11" s="368" t="s">
        <v>44</v>
      </c>
      <c r="D11" s="368">
        <v>300</v>
      </c>
      <c r="E11" s="368">
        <v>300</v>
      </c>
      <c r="F11" s="368">
        <v>10</v>
      </c>
      <c r="G11" s="368">
        <v>15</v>
      </c>
      <c r="H11" s="368">
        <v>20</v>
      </c>
      <c r="I11" s="368">
        <v>120.4</v>
      </c>
      <c r="J11" s="368">
        <v>94.5</v>
      </c>
      <c r="K11" s="368">
        <v>20500</v>
      </c>
      <c r="L11" s="368">
        <v>1370</v>
      </c>
      <c r="M11" s="369">
        <f t="shared" si="1"/>
        <v>13.048593055609368</v>
      </c>
      <c r="N11" s="368">
        <v>6760</v>
      </c>
      <c r="O11" s="368">
        <v>450</v>
      </c>
      <c r="P11" s="368">
        <v>7.49</v>
      </c>
    </row>
    <row r="12" spans="1:16" ht="12" customHeight="1">
      <c r="A12" s="361">
        <v>11</v>
      </c>
      <c r="B12" s="362" t="str">
        <f t="shared" si="0"/>
        <v>HW300x305x15x15</v>
      </c>
      <c r="C12" s="368" t="s">
        <v>45</v>
      </c>
      <c r="D12" s="368">
        <v>300</v>
      </c>
      <c r="E12" s="368">
        <v>305</v>
      </c>
      <c r="F12" s="368">
        <v>15</v>
      </c>
      <c r="G12" s="368">
        <v>15</v>
      </c>
      <c r="H12" s="368">
        <v>20</v>
      </c>
      <c r="I12" s="368">
        <v>135.4</v>
      </c>
      <c r="J12" s="368">
        <v>106</v>
      </c>
      <c r="K12" s="368">
        <v>21600</v>
      </c>
      <c r="L12" s="368">
        <v>1440</v>
      </c>
      <c r="M12" s="369">
        <f t="shared" si="1"/>
        <v>12.630412758107996</v>
      </c>
      <c r="N12" s="368">
        <v>7100</v>
      </c>
      <c r="O12" s="368">
        <v>466</v>
      </c>
      <c r="P12" s="368">
        <v>7.24</v>
      </c>
    </row>
    <row r="13" spans="1:16" ht="12.75">
      <c r="A13" s="361">
        <v>12</v>
      </c>
      <c r="B13" s="362" t="str">
        <f t="shared" si="0"/>
        <v>HW344x348x10x16</v>
      </c>
      <c r="C13" s="367" t="s">
        <v>46</v>
      </c>
      <c r="D13" s="368">
        <v>344</v>
      </c>
      <c r="E13" s="368">
        <v>348</v>
      </c>
      <c r="F13" s="368">
        <v>10</v>
      </c>
      <c r="G13" s="368">
        <v>16</v>
      </c>
      <c r="H13" s="368">
        <v>20</v>
      </c>
      <c r="I13" s="368">
        <v>146</v>
      </c>
      <c r="J13" s="368">
        <v>115</v>
      </c>
      <c r="K13" s="368">
        <v>33300</v>
      </c>
      <c r="L13" s="368">
        <v>1940</v>
      </c>
      <c r="M13" s="369">
        <f t="shared" si="1"/>
        <v>15.102390267133938</v>
      </c>
      <c r="N13" s="368">
        <v>11200</v>
      </c>
      <c r="O13" s="368">
        <v>646</v>
      </c>
      <c r="P13" s="368">
        <v>8.78</v>
      </c>
    </row>
    <row r="14" spans="1:16" ht="12" customHeight="1">
      <c r="A14" s="361">
        <v>13</v>
      </c>
      <c r="B14" s="362" t="str">
        <f t="shared" si="0"/>
        <v>HW350x350x12x19</v>
      </c>
      <c r="C14" s="368" t="s">
        <v>47</v>
      </c>
      <c r="D14" s="368">
        <v>350</v>
      </c>
      <c r="E14" s="368">
        <v>350</v>
      </c>
      <c r="F14" s="368">
        <v>12</v>
      </c>
      <c r="G14" s="368">
        <v>19</v>
      </c>
      <c r="H14" s="368">
        <v>20</v>
      </c>
      <c r="I14" s="368">
        <v>173.9</v>
      </c>
      <c r="J14" s="368">
        <v>137</v>
      </c>
      <c r="K14" s="368">
        <v>40300</v>
      </c>
      <c r="L14" s="368">
        <v>2300</v>
      </c>
      <c r="M14" s="369">
        <f t="shared" si="1"/>
        <v>15.223087094231278</v>
      </c>
      <c r="N14" s="368">
        <v>13600</v>
      </c>
      <c r="O14" s="368">
        <v>776</v>
      </c>
      <c r="P14" s="368">
        <v>8.84</v>
      </c>
    </row>
    <row r="15" spans="1:16" ht="12.75">
      <c r="A15" s="361">
        <v>14</v>
      </c>
      <c r="B15" s="362" t="str">
        <f t="shared" si="0"/>
        <v>HW388x402x15x15</v>
      </c>
      <c r="C15" s="367" t="s">
        <v>48</v>
      </c>
      <c r="D15" s="368">
        <v>388</v>
      </c>
      <c r="E15" s="368">
        <v>402</v>
      </c>
      <c r="F15" s="368">
        <v>15</v>
      </c>
      <c r="G15" s="368">
        <v>15</v>
      </c>
      <c r="H15" s="368">
        <v>24</v>
      </c>
      <c r="I15" s="368">
        <v>179.2</v>
      </c>
      <c r="J15" s="368">
        <v>141</v>
      </c>
      <c r="K15" s="368">
        <v>49200</v>
      </c>
      <c r="L15" s="368">
        <v>2540</v>
      </c>
      <c r="M15" s="369">
        <f t="shared" si="1"/>
        <v>16.569658156660065</v>
      </c>
      <c r="N15" s="368">
        <v>16300</v>
      </c>
      <c r="O15" s="368">
        <v>809</v>
      </c>
      <c r="P15" s="368">
        <v>9.52</v>
      </c>
    </row>
    <row r="16" spans="1:16" ht="12" customHeight="1">
      <c r="A16" s="361">
        <v>15</v>
      </c>
      <c r="B16" s="362" t="str">
        <f t="shared" si="0"/>
        <v>HW394x398x11x18</v>
      </c>
      <c r="C16" s="368" t="s">
        <v>49</v>
      </c>
      <c r="D16" s="368">
        <v>394</v>
      </c>
      <c r="E16" s="368">
        <v>398</v>
      </c>
      <c r="F16" s="368">
        <v>11</v>
      </c>
      <c r="G16" s="368">
        <v>18</v>
      </c>
      <c r="H16" s="368">
        <v>24</v>
      </c>
      <c r="I16" s="368">
        <v>187.6</v>
      </c>
      <c r="J16" s="368">
        <v>147</v>
      </c>
      <c r="K16" s="368">
        <v>56400</v>
      </c>
      <c r="L16" s="368">
        <v>2860</v>
      </c>
      <c r="M16" s="369">
        <f t="shared" si="1"/>
        <v>17.33896360364754</v>
      </c>
      <c r="N16" s="368">
        <v>18900</v>
      </c>
      <c r="O16" s="368">
        <v>951</v>
      </c>
      <c r="P16" s="368">
        <v>10</v>
      </c>
    </row>
    <row r="17" spans="1:16" ht="12" customHeight="1">
      <c r="A17" s="361">
        <v>16</v>
      </c>
      <c r="B17" s="362" t="str">
        <f t="shared" si="0"/>
        <v>HW400x400x13x21</v>
      </c>
      <c r="C17" s="368" t="s">
        <v>50</v>
      </c>
      <c r="D17" s="368">
        <v>400</v>
      </c>
      <c r="E17" s="368">
        <v>400</v>
      </c>
      <c r="F17" s="368">
        <v>13</v>
      </c>
      <c r="G17" s="368">
        <v>21</v>
      </c>
      <c r="H17" s="368">
        <v>24</v>
      </c>
      <c r="I17" s="368">
        <v>219.5</v>
      </c>
      <c r="J17" s="368">
        <v>172</v>
      </c>
      <c r="K17" s="368">
        <v>66900</v>
      </c>
      <c r="L17" s="368">
        <v>3340</v>
      </c>
      <c r="M17" s="369">
        <f t="shared" si="1"/>
        <v>17.458052557167946</v>
      </c>
      <c r="N17" s="368">
        <v>22400</v>
      </c>
      <c r="O17" s="368">
        <v>1120</v>
      </c>
      <c r="P17" s="368">
        <v>10.1</v>
      </c>
    </row>
    <row r="18" spans="1:16" ht="12" customHeight="1">
      <c r="A18" s="361">
        <v>17</v>
      </c>
      <c r="B18" s="362" t="str">
        <f t="shared" si="0"/>
        <v>HW400x408x21x21</v>
      </c>
      <c r="C18" s="368" t="s">
        <v>51</v>
      </c>
      <c r="D18" s="368">
        <v>400</v>
      </c>
      <c r="E18" s="368">
        <v>408</v>
      </c>
      <c r="F18" s="368">
        <v>21</v>
      </c>
      <c r="G18" s="368">
        <v>21</v>
      </c>
      <c r="H18" s="368">
        <v>24</v>
      </c>
      <c r="I18" s="368">
        <v>251.5</v>
      </c>
      <c r="J18" s="368">
        <v>197</v>
      </c>
      <c r="K18" s="368">
        <v>71100</v>
      </c>
      <c r="L18" s="368">
        <v>3560</v>
      </c>
      <c r="M18" s="369">
        <f t="shared" si="1"/>
        <v>16.81379723132119</v>
      </c>
      <c r="N18" s="368">
        <v>23800</v>
      </c>
      <c r="O18" s="368">
        <v>1170</v>
      </c>
      <c r="P18" s="368">
        <v>9.73</v>
      </c>
    </row>
    <row r="19" spans="1:16" ht="12" customHeight="1">
      <c r="A19" s="361">
        <v>18</v>
      </c>
      <c r="B19" s="362" t="str">
        <f t="shared" si="0"/>
        <v>HW414x405x18x28</v>
      </c>
      <c r="C19" s="368" t="s">
        <v>52</v>
      </c>
      <c r="D19" s="368">
        <v>414</v>
      </c>
      <c r="E19" s="368">
        <v>405</v>
      </c>
      <c r="F19" s="368">
        <v>18</v>
      </c>
      <c r="G19" s="368">
        <v>28</v>
      </c>
      <c r="H19" s="368">
        <v>24</v>
      </c>
      <c r="I19" s="368">
        <v>296.2</v>
      </c>
      <c r="J19" s="368">
        <v>233</v>
      </c>
      <c r="K19" s="368">
        <v>93000</v>
      </c>
      <c r="L19" s="368">
        <v>4490</v>
      </c>
      <c r="M19" s="369">
        <f t="shared" si="1"/>
        <v>17.719397352585812</v>
      </c>
      <c r="N19" s="368">
        <v>31000</v>
      </c>
      <c r="O19" s="368">
        <v>1530</v>
      </c>
      <c r="P19" s="368">
        <v>10.2</v>
      </c>
    </row>
    <row r="20" spans="1:16" ht="12" customHeight="1">
      <c r="A20" s="361">
        <v>19</v>
      </c>
      <c r="B20" s="362" t="str">
        <f t="shared" si="0"/>
        <v>HW428x407x20x35</v>
      </c>
      <c r="C20" s="368" t="s">
        <v>53</v>
      </c>
      <c r="D20" s="368">
        <v>428</v>
      </c>
      <c r="E20" s="368">
        <v>407</v>
      </c>
      <c r="F20" s="368">
        <v>20</v>
      </c>
      <c r="G20" s="368">
        <v>35</v>
      </c>
      <c r="H20" s="368">
        <v>24</v>
      </c>
      <c r="I20" s="368">
        <v>361.4</v>
      </c>
      <c r="J20" s="368">
        <v>284</v>
      </c>
      <c r="K20" s="368">
        <v>119000</v>
      </c>
      <c r="L20" s="362">
        <v>5580</v>
      </c>
      <c r="M20" s="369">
        <f t="shared" si="1"/>
        <v>18.145937327822374</v>
      </c>
      <c r="N20" s="368">
        <v>39400</v>
      </c>
      <c r="O20" s="368">
        <v>1930</v>
      </c>
      <c r="P20" s="368">
        <v>10.4</v>
      </c>
    </row>
    <row r="21" spans="1:16" ht="12" customHeight="1">
      <c r="A21" s="361">
        <v>20</v>
      </c>
      <c r="B21" s="362" t="str">
        <f t="shared" si="0"/>
        <v>HW458x417x30x50</v>
      </c>
      <c r="C21" s="368" t="s">
        <v>54</v>
      </c>
      <c r="D21" s="368">
        <v>458</v>
      </c>
      <c r="E21" s="368">
        <v>417</v>
      </c>
      <c r="F21" s="368">
        <v>30</v>
      </c>
      <c r="G21" s="368">
        <v>50</v>
      </c>
      <c r="H21" s="368">
        <v>24</v>
      </c>
      <c r="I21" s="368">
        <v>529.3</v>
      </c>
      <c r="J21" s="368">
        <v>415</v>
      </c>
      <c r="K21" s="368">
        <v>187000</v>
      </c>
      <c r="L21" s="368">
        <v>8180</v>
      </c>
      <c r="M21" s="369">
        <f t="shared" si="1"/>
        <v>18.796191292485876</v>
      </c>
      <c r="N21" s="368">
        <v>60500</v>
      </c>
      <c r="O21" s="368">
        <v>2900</v>
      </c>
      <c r="P21" s="368">
        <v>10.7</v>
      </c>
    </row>
    <row r="22" spans="1:16" ht="12" customHeight="1">
      <c r="A22" s="361">
        <v>21</v>
      </c>
      <c r="B22" s="362" t="str">
        <f t="shared" si="0"/>
        <v>HW498x432x45x70</v>
      </c>
      <c r="C22" s="368" t="s">
        <v>55</v>
      </c>
      <c r="D22" s="368">
        <v>498</v>
      </c>
      <c r="E22" s="368">
        <v>432</v>
      </c>
      <c r="F22" s="368">
        <v>45</v>
      </c>
      <c r="G22" s="368">
        <v>70</v>
      </c>
      <c r="H22" s="368">
        <v>24</v>
      </c>
      <c r="I22" s="368">
        <v>770.8</v>
      </c>
      <c r="J22" s="368">
        <v>605</v>
      </c>
      <c r="K22" s="368">
        <v>298000</v>
      </c>
      <c r="L22" s="368">
        <v>12000</v>
      </c>
      <c r="M22" s="369">
        <f t="shared" si="1"/>
        <v>19.662434053840837</v>
      </c>
      <c r="N22" s="368">
        <v>94400</v>
      </c>
      <c r="O22" s="368">
        <v>4370</v>
      </c>
      <c r="P22" s="368">
        <v>11.1</v>
      </c>
    </row>
    <row r="23" spans="1:16" ht="12.75">
      <c r="A23" s="361">
        <v>22</v>
      </c>
      <c r="B23" s="370"/>
      <c r="C23" s="371"/>
      <c r="D23" s="371"/>
      <c r="E23" s="371"/>
      <c r="F23" s="371"/>
      <c r="G23" s="371"/>
      <c r="H23" s="371"/>
      <c r="I23" s="371"/>
      <c r="J23" s="371"/>
      <c r="K23" s="371"/>
      <c r="L23" s="371"/>
      <c r="M23" s="372"/>
      <c r="N23" s="372"/>
      <c r="O23" s="371"/>
      <c r="P23" s="373"/>
    </row>
    <row r="24" spans="1:16" s="374" customFormat="1" ht="12.75">
      <c r="A24" s="361">
        <v>23</v>
      </c>
      <c r="B24" s="362" t="str">
        <f t="shared" si="0"/>
        <v>HM148x100x6x9</v>
      </c>
      <c r="C24" s="368" t="s">
        <v>29</v>
      </c>
      <c r="D24" s="368">
        <v>148</v>
      </c>
      <c r="E24" s="368">
        <v>100</v>
      </c>
      <c r="F24" s="368">
        <v>6</v>
      </c>
      <c r="G24" s="368">
        <v>9</v>
      </c>
      <c r="H24" s="368">
        <v>13</v>
      </c>
      <c r="I24" s="368">
        <v>27.25</v>
      </c>
      <c r="J24" s="368">
        <v>21.4</v>
      </c>
      <c r="K24" s="368">
        <v>1040</v>
      </c>
      <c r="L24" s="368">
        <v>140</v>
      </c>
      <c r="M24" s="368">
        <v>6.17</v>
      </c>
      <c r="N24" s="368">
        <v>151</v>
      </c>
      <c r="O24" s="368">
        <v>30.2</v>
      </c>
      <c r="P24" s="368">
        <v>2.35</v>
      </c>
    </row>
    <row r="25" spans="1:16" s="374" customFormat="1" ht="12.75">
      <c r="A25" s="361">
        <v>24</v>
      </c>
      <c r="B25" s="362" t="str">
        <f t="shared" si="0"/>
        <v>HM194x150x6x9</v>
      </c>
      <c r="C25" s="368" t="s">
        <v>30</v>
      </c>
      <c r="D25" s="368">
        <v>194</v>
      </c>
      <c r="E25" s="368">
        <v>150</v>
      </c>
      <c r="F25" s="368">
        <v>6</v>
      </c>
      <c r="G25" s="368">
        <v>9</v>
      </c>
      <c r="H25" s="368">
        <v>16</v>
      </c>
      <c r="I25" s="368">
        <v>39.76</v>
      </c>
      <c r="J25" s="368">
        <v>31.2</v>
      </c>
      <c r="K25" s="368">
        <v>2740</v>
      </c>
      <c r="L25" s="368">
        <v>283</v>
      </c>
      <c r="M25" s="368">
        <v>8.3</v>
      </c>
      <c r="N25" s="368">
        <v>508</v>
      </c>
      <c r="O25" s="368">
        <v>67.7</v>
      </c>
      <c r="P25" s="368">
        <v>3.57</v>
      </c>
    </row>
    <row r="26" spans="1:16" s="374" customFormat="1" ht="12.75">
      <c r="A26" s="361">
        <v>25</v>
      </c>
      <c r="B26" s="362" t="str">
        <f t="shared" si="0"/>
        <v>HM244x175x7x11</v>
      </c>
      <c r="C26" s="368" t="s">
        <v>31</v>
      </c>
      <c r="D26" s="368">
        <v>244</v>
      </c>
      <c r="E26" s="368">
        <v>175</v>
      </c>
      <c r="F26" s="368">
        <v>7</v>
      </c>
      <c r="G26" s="368">
        <v>11</v>
      </c>
      <c r="H26" s="368">
        <v>16</v>
      </c>
      <c r="I26" s="368">
        <v>56.24</v>
      </c>
      <c r="J26" s="368">
        <v>44.1</v>
      </c>
      <c r="K26" s="368">
        <v>6120</v>
      </c>
      <c r="L26" s="368">
        <v>502</v>
      </c>
      <c r="M26" s="368">
        <v>10.4</v>
      </c>
      <c r="N26" s="368">
        <v>985</v>
      </c>
      <c r="O26" s="368">
        <v>113</v>
      </c>
      <c r="P26" s="368">
        <v>4.18</v>
      </c>
    </row>
    <row r="27" spans="1:16" s="374" customFormat="1" ht="12.75">
      <c r="A27" s="361">
        <v>26</v>
      </c>
      <c r="B27" s="362" t="str">
        <f t="shared" si="0"/>
        <v>HM294x200x8x12</v>
      </c>
      <c r="C27" s="368" t="s">
        <v>32</v>
      </c>
      <c r="D27" s="368">
        <v>294</v>
      </c>
      <c r="E27" s="368">
        <v>200</v>
      </c>
      <c r="F27" s="368">
        <v>8</v>
      </c>
      <c r="G27" s="368">
        <v>12</v>
      </c>
      <c r="H27" s="368">
        <v>20</v>
      </c>
      <c r="I27" s="368">
        <v>73.03</v>
      </c>
      <c r="J27" s="368">
        <v>57.3</v>
      </c>
      <c r="K27" s="368">
        <v>11400</v>
      </c>
      <c r="L27" s="368">
        <v>779</v>
      </c>
      <c r="M27" s="368">
        <v>12.5</v>
      </c>
      <c r="N27" s="368">
        <v>1600</v>
      </c>
      <c r="O27" s="368">
        <v>160</v>
      </c>
      <c r="P27" s="368">
        <v>4.69</v>
      </c>
    </row>
    <row r="28" spans="1:16" s="374" customFormat="1" ht="12.75">
      <c r="A28" s="361">
        <v>27</v>
      </c>
      <c r="B28" s="362" t="str">
        <f t="shared" si="0"/>
        <v>HM340x250x9x14</v>
      </c>
      <c r="C28" s="368" t="s">
        <v>33</v>
      </c>
      <c r="D28" s="368">
        <v>340</v>
      </c>
      <c r="E28" s="368">
        <v>250</v>
      </c>
      <c r="F28" s="368">
        <v>9</v>
      </c>
      <c r="G28" s="368">
        <v>14</v>
      </c>
      <c r="H28" s="368">
        <v>20</v>
      </c>
      <c r="I28" s="368">
        <v>101.5</v>
      </c>
      <c r="J28" s="368">
        <v>79.7</v>
      </c>
      <c r="K28" s="368">
        <v>21700</v>
      </c>
      <c r="L28" s="368">
        <v>1280</v>
      </c>
      <c r="M28" s="368">
        <v>14.6</v>
      </c>
      <c r="N28" s="368">
        <v>3650</v>
      </c>
      <c r="O28" s="368">
        <v>292</v>
      </c>
      <c r="P28" s="368">
        <v>6</v>
      </c>
    </row>
    <row r="29" spans="1:16" s="374" customFormat="1" ht="12.75">
      <c r="A29" s="361">
        <v>28</v>
      </c>
      <c r="B29" s="362" t="str">
        <f t="shared" si="0"/>
        <v>HM390x300x10x16</v>
      </c>
      <c r="C29" s="368" t="s">
        <v>34</v>
      </c>
      <c r="D29" s="368">
        <v>390</v>
      </c>
      <c r="E29" s="368">
        <v>300</v>
      </c>
      <c r="F29" s="368">
        <v>10</v>
      </c>
      <c r="G29" s="368">
        <v>16</v>
      </c>
      <c r="H29" s="368">
        <v>24</v>
      </c>
      <c r="I29" s="368">
        <v>136.7</v>
      </c>
      <c r="J29" s="368">
        <v>107</v>
      </c>
      <c r="K29" s="368">
        <v>39800</v>
      </c>
      <c r="L29" s="368">
        <v>2000</v>
      </c>
      <c r="M29" s="368">
        <v>16.9</v>
      </c>
      <c r="N29" s="368">
        <v>7210</v>
      </c>
      <c r="O29" s="368">
        <v>481</v>
      </c>
      <c r="P29" s="368">
        <v>7.26</v>
      </c>
    </row>
    <row r="30" spans="1:16" s="374" customFormat="1" ht="12.75">
      <c r="A30" s="361">
        <v>29</v>
      </c>
      <c r="B30" s="362" t="str">
        <f t="shared" si="0"/>
        <v>HM440x300x11x18</v>
      </c>
      <c r="C30" s="368" t="s">
        <v>35</v>
      </c>
      <c r="D30" s="368">
        <v>440</v>
      </c>
      <c r="E30" s="368">
        <v>300</v>
      </c>
      <c r="F30" s="368">
        <v>11</v>
      </c>
      <c r="G30" s="368">
        <v>18</v>
      </c>
      <c r="H30" s="368">
        <v>24</v>
      </c>
      <c r="I30" s="368">
        <v>157.4</v>
      </c>
      <c r="J30" s="368">
        <v>124</v>
      </c>
      <c r="K30" s="368">
        <v>56100</v>
      </c>
      <c r="L30" s="368">
        <v>2550</v>
      </c>
      <c r="M30" s="368">
        <v>18.9</v>
      </c>
      <c r="N30" s="368">
        <v>8110</v>
      </c>
      <c r="O30" s="368">
        <v>541</v>
      </c>
      <c r="P30" s="368">
        <v>7.18</v>
      </c>
    </row>
    <row r="31" spans="1:16" s="374" customFormat="1" ht="12.75">
      <c r="A31" s="361">
        <v>30</v>
      </c>
      <c r="B31" s="362" t="str">
        <f t="shared" si="0"/>
        <v>HM482x300x11x15</v>
      </c>
      <c r="C31" s="368" t="s">
        <v>36</v>
      </c>
      <c r="D31" s="368">
        <v>482</v>
      </c>
      <c r="E31" s="368">
        <v>300</v>
      </c>
      <c r="F31" s="368">
        <v>11</v>
      </c>
      <c r="G31" s="368">
        <v>15</v>
      </c>
      <c r="H31" s="368">
        <v>28</v>
      </c>
      <c r="I31" s="368">
        <v>146.4</v>
      </c>
      <c r="J31" s="368">
        <v>115</v>
      </c>
      <c r="K31" s="368">
        <v>60800</v>
      </c>
      <c r="L31" s="368">
        <v>2520</v>
      </c>
      <c r="M31" s="368">
        <v>20.4</v>
      </c>
      <c r="N31" s="368">
        <v>6770</v>
      </c>
      <c r="O31" s="368">
        <v>451</v>
      </c>
      <c r="P31" s="368">
        <v>6.8</v>
      </c>
    </row>
    <row r="32" spans="1:16" s="374" customFormat="1" ht="12.75">
      <c r="A32" s="361">
        <v>31</v>
      </c>
      <c r="B32" s="362" t="str">
        <f t="shared" si="0"/>
        <v>HM488x399x11x18</v>
      </c>
      <c r="C32" s="368" t="s">
        <v>37</v>
      </c>
      <c r="D32" s="368">
        <v>488</v>
      </c>
      <c r="E32" s="368">
        <v>300</v>
      </c>
      <c r="F32" s="368">
        <v>11</v>
      </c>
      <c r="G32" s="368">
        <v>18</v>
      </c>
      <c r="H32" s="368">
        <v>28</v>
      </c>
      <c r="I32" s="368">
        <v>164.4</v>
      </c>
      <c r="J32" s="368">
        <v>129</v>
      </c>
      <c r="K32" s="368">
        <v>71400</v>
      </c>
      <c r="L32" s="368">
        <v>2930</v>
      </c>
      <c r="M32" s="368">
        <v>20.8</v>
      </c>
      <c r="N32" s="368">
        <v>8120</v>
      </c>
      <c r="O32" s="368">
        <v>541</v>
      </c>
      <c r="P32" s="368">
        <v>7.03</v>
      </c>
    </row>
    <row r="33" spans="1:16" s="374" customFormat="1" ht="12.75">
      <c r="A33" s="361">
        <v>32</v>
      </c>
      <c r="B33" s="362" t="str">
        <f t="shared" si="0"/>
        <v>HM582x300x12x17</v>
      </c>
      <c r="C33" s="368" t="s">
        <v>38</v>
      </c>
      <c r="D33" s="368">
        <v>582</v>
      </c>
      <c r="E33" s="368">
        <v>300</v>
      </c>
      <c r="F33" s="368">
        <v>12</v>
      </c>
      <c r="G33" s="368">
        <v>17</v>
      </c>
      <c r="H33" s="368">
        <v>28</v>
      </c>
      <c r="I33" s="368">
        <v>174.5</v>
      </c>
      <c r="J33" s="368">
        <v>137</v>
      </c>
      <c r="K33" s="368">
        <v>103000</v>
      </c>
      <c r="L33" s="368">
        <v>3530</v>
      </c>
      <c r="M33" s="368">
        <v>24.3</v>
      </c>
      <c r="N33" s="368">
        <v>7670</v>
      </c>
      <c r="O33" s="368">
        <v>511</v>
      </c>
      <c r="P33" s="368">
        <v>6.63</v>
      </c>
    </row>
    <row r="34" spans="1:16" s="374" customFormat="1" ht="12.75">
      <c r="A34" s="361">
        <v>33</v>
      </c>
      <c r="B34" s="362" t="str">
        <f t="shared" si="0"/>
        <v>HM588x300x12x20</v>
      </c>
      <c r="C34" s="368" t="s">
        <v>39</v>
      </c>
      <c r="D34" s="368">
        <v>588</v>
      </c>
      <c r="E34" s="368">
        <v>300</v>
      </c>
      <c r="F34" s="368">
        <v>12</v>
      </c>
      <c r="G34" s="368">
        <v>20</v>
      </c>
      <c r="H34" s="368">
        <v>28</v>
      </c>
      <c r="I34" s="368">
        <v>192.5</v>
      </c>
      <c r="J34" s="368">
        <v>151</v>
      </c>
      <c r="K34" s="368">
        <v>118000</v>
      </c>
      <c r="L34" s="368">
        <v>4020</v>
      </c>
      <c r="M34" s="368">
        <v>24.8</v>
      </c>
      <c r="N34" s="368">
        <v>9020</v>
      </c>
      <c r="O34" s="368">
        <v>601</v>
      </c>
      <c r="P34" s="368">
        <v>6.85</v>
      </c>
    </row>
    <row r="35" spans="1:16" s="374" customFormat="1" ht="12.75">
      <c r="A35" s="361">
        <v>34</v>
      </c>
      <c r="B35" s="362" t="str">
        <f t="shared" si="0"/>
        <v>HM594x302x14x23</v>
      </c>
      <c r="C35" s="368" t="s">
        <v>40</v>
      </c>
      <c r="D35" s="368">
        <v>594</v>
      </c>
      <c r="E35" s="368">
        <v>302</v>
      </c>
      <c r="F35" s="368">
        <v>14</v>
      </c>
      <c r="G35" s="368">
        <v>23</v>
      </c>
      <c r="H35" s="368">
        <v>28</v>
      </c>
      <c r="I35" s="368">
        <v>222.4</v>
      </c>
      <c r="J35" s="368">
        <v>175</v>
      </c>
      <c r="K35" s="368">
        <v>137000</v>
      </c>
      <c r="L35" s="368">
        <v>4620</v>
      </c>
      <c r="M35" s="368">
        <v>24.9</v>
      </c>
      <c r="N35" s="368">
        <v>10600</v>
      </c>
      <c r="O35" s="368">
        <v>701</v>
      </c>
      <c r="P35" s="368">
        <v>6.9</v>
      </c>
    </row>
    <row r="36" spans="1:16" ht="12.75">
      <c r="A36" s="361">
        <v>35</v>
      </c>
      <c r="B36" s="370"/>
      <c r="C36" s="371"/>
      <c r="D36" s="371"/>
      <c r="E36" s="371"/>
      <c r="F36" s="371"/>
      <c r="G36" s="371"/>
      <c r="H36" s="371"/>
      <c r="I36" s="371"/>
      <c r="J36" s="371"/>
      <c r="K36" s="371"/>
      <c r="L36" s="371"/>
      <c r="M36" s="372"/>
      <c r="N36" s="372"/>
      <c r="O36" s="371"/>
      <c r="P36" s="373"/>
    </row>
    <row r="37" spans="1:16" ht="12.75">
      <c r="A37" s="361">
        <v>36</v>
      </c>
      <c r="B37" s="362" t="str">
        <f t="shared" si="0"/>
        <v>HN100x50x5x7</v>
      </c>
      <c r="C37" s="368" t="s">
        <v>56</v>
      </c>
      <c r="D37" s="368">
        <v>100</v>
      </c>
      <c r="E37" s="368">
        <v>50</v>
      </c>
      <c r="F37" s="368">
        <v>5</v>
      </c>
      <c r="G37" s="368">
        <v>7</v>
      </c>
      <c r="H37" s="368">
        <v>10</v>
      </c>
      <c r="I37" s="368">
        <v>12.16</v>
      </c>
      <c r="J37" s="368">
        <v>9.45</v>
      </c>
      <c r="K37" s="368">
        <v>192</v>
      </c>
      <c r="L37" s="368">
        <v>38.5</v>
      </c>
      <c r="M37" s="368">
        <v>3.98</v>
      </c>
      <c r="N37" s="368">
        <v>14.9</v>
      </c>
      <c r="O37" s="368">
        <v>5.96</v>
      </c>
      <c r="P37" s="368">
        <v>1.11</v>
      </c>
    </row>
    <row r="38" spans="1:16" ht="12.75">
      <c r="A38" s="361">
        <v>37</v>
      </c>
      <c r="B38" s="362" t="str">
        <f t="shared" si="0"/>
        <v>HN125x60x6x8</v>
      </c>
      <c r="C38" s="368" t="s">
        <v>57</v>
      </c>
      <c r="D38" s="368">
        <v>125</v>
      </c>
      <c r="E38" s="368">
        <v>60</v>
      </c>
      <c r="F38" s="368">
        <v>6</v>
      </c>
      <c r="G38" s="368">
        <v>8</v>
      </c>
      <c r="H38" s="368">
        <v>10</v>
      </c>
      <c r="I38" s="368">
        <v>17.01</v>
      </c>
      <c r="J38" s="368">
        <v>13.3</v>
      </c>
      <c r="K38" s="368">
        <v>417</v>
      </c>
      <c r="L38" s="368">
        <v>66.8</v>
      </c>
      <c r="M38" s="368">
        <v>4.95</v>
      </c>
      <c r="N38" s="368">
        <v>29.3</v>
      </c>
      <c r="O38" s="368">
        <v>9.75</v>
      </c>
      <c r="P38" s="368">
        <v>1.31</v>
      </c>
    </row>
    <row r="39" spans="1:16" ht="12.75">
      <c r="A39" s="361">
        <v>38</v>
      </c>
      <c r="B39" s="362" t="str">
        <f t="shared" si="0"/>
        <v>HN150x75x5x7</v>
      </c>
      <c r="C39" s="368" t="s">
        <v>58</v>
      </c>
      <c r="D39" s="368">
        <v>150</v>
      </c>
      <c r="E39" s="368">
        <v>75</v>
      </c>
      <c r="F39" s="368">
        <v>5</v>
      </c>
      <c r="G39" s="368">
        <v>7</v>
      </c>
      <c r="H39" s="368">
        <v>10</v>
      </c>
      <c r="I39" s="368">
        <v>18.16</v>
      </c>
      <c r="J39" s="368">
        <v>14.3</v>
      </c>
      <c r="K39" s="368">
        <v>679</v>
      </c>
      <c r="L39" s="368">
        <v>90.6</v>
      </c>
      <c r="M39" s="368">
        <v>6.12</v>
      </c>
      <c r="N39" s="368">
        <v>49.6</v>
      </c>
      <c r="O39" s="368">
        <v>13.2</v>
      </c>
      <c r="P39" s="368">
        <v>1.65</v>
      </c>
    </row>
    <row r="40" spans="1:16" ht="12.75">
      <c r="A40" s="361">
        <v>39</v>
      </c>
      <c r="B40" s="362" t="str">
        <f t="shared" si="0"/>
        <v>HN175x90x5x8</v>
      </c>
      <c r="C40" s="368" t="s">
        <v>59</v>
      </c>
      <c r="D40" s="368">
        <v>175</v>
      </c>
      <c r="E40" s="368">
        <v>90</v>
      </c>
      <c r="F40" s="368">
        <v>5</v>
      </c>
      <c r="G40" s="368">
        <v>8</v>
      </c>
      <c r="H40" s="368">
        <v>13</v>
      </c>
      <c r="I40" s="368">
        <v>23.21</v>
      </c>
      <c r="J40" s="368">
        <v>18.2</v>
      </c>
      <c r="K40" s="368">
        <v>1220</v>
      </c>
      <c r="L40" s="368">
        <v>140</v>
      </c>
      <c r="M40" s="368">
        <v>7.26</v>
      </c>
      <c r="N40" s="368">
        <v>97.6</v>
      </c>
      <c r="O40" s="368">
        <v>21.7</v>
      </c>
      <c r="P40" s="368">
        <v>2.05</v>
      </c>
    </row>
    <row r="41" spans="1:16" ht="12.75">
      <c r="A41" s="361">
        <v>40</v>
      </c>
      <c r="B41" s="362" t="str">
        <f t="shared" si="0"/>
        <v>HN198x99x4.5x7</v>
      </c>
      <c r="C41" s="375" t="s">
        <v>60</v>
      </c>
      <c r="D41" s="368">
        <v>198</v>
      </c>
      <c r="E41" s="368">
        <v>99</v>
      </c>
      <c r="F41" s="368">
        <v>4.5</v>
      </c>
      <c r="G41" s="368">
        <v>7</v>
      </c>
      <c r="H41" s="368">
        <v>13</v>
      </c>
      <c r="I41" s="368">
        <v>23.59</v>
      </c>
      <c r="J41" s="368">
        <v>18.5</v>
      </c>
      <c r="K41" s="368">
        <v>1610</v>
      </c>
      <c r="L41" s="368">
        <v>163</v>
      </c>
      <c r="M41" s="368">
        <v>8.27</v>
      </c>
      <c r="N41" s="368">
        <v>114</v>
      </c>
      <c r="O41" s="368">
        <v>23</v>
      </c>
      <c r="P41" s="368">
        <v>2.2</v>
      </c>
    </row>
    <row r="42" spans="1:16" ht="12.75">
      <c r="A42" s="361">
        <v>41</v>
      </c>
      <c r="B42" s="362" t="str">
        <f t="shared" si="0"/>
        <v>HN200x100x5.5x8</v>
      </c>
      <c r="C42" s="375" t="s">
        <v>61</v>
      </c>
      <c r="D42" s="368">
        <v>200</v>
      </c>
      <c r="E42" s="368">
        <v>100</v>
      </c>
      <c r="F42" s="368">
        <v>5.5</v>
      </c>
      <c r="G42" s="368">
        <v>8</v>
      </c>
      <c r="H42" s="368">
        <v>13</v>
      </c>
      <c r="I42" s="368">
        <v>23.59</v>
      </c>
      <c r="J42" s="368">
        <v>21.7</v>
      </c>
      <c r="K42" s="368">
        <v>1880</v>
      </c>
      <c r="L42" s="368">
        <v>188</v>
      </c>
      <c r="M42" s="368">
        <v>8.25</v>
      </c>
      <c r="N42" s="368">
        <v>134</v>
      </c>
      <c r="O42" s="368">
        <v>26.8</v>
      </c>
      <c r="P42" s="368">
        <v>2.21</v>
      </c>
    </row>
    <row r="43" spans="1:16" ht="12.75">
      <c r="A43" s="361">
        <v>42</v>
      </c>
      <c r="B43" s="362" t="str">
        <f t="shared" si="0"/>
        <v>HN248x124x5x8</v>
      </c>
      <c r="C43" s="375" t="s">
        <v>62</v>
      </c>
      <c r="D43" s="368">
        <v>248</v>
      </c>
      <c r="E43" s="368">
        <v>124</v>
      </c>
      <c r="F43" s="368">
        <v>5</v>
      </c>
      <c r="G43" s="368">
        <v>8</v>
      </c>
      <c r="H43" s="368">
        <v>13</v>
      </c>
      <c r="I43" s="368">
        <v>27.57</v>
      </c>
      <c r="J43" s="368">
        <v>25.8</v>
      </c>
      <c r="K43" s="368">
        <v>3560</v>
      </c>
      <c r="L43" s="368">
        <v>287</v>
      </c>
      <c r="M43" s="368">
        <v>10.4</v>
      </c>
      <c r="N43" s="368">
        <v>255</v>
      </c>
      <c r="O43" s="368">
        <v>41.1</v>
      </c>
      <c r="P43" s="368">
        <v>2.78</v>
      </c>
    </row>
    <row r="44" spans="1:16" ht="12.75">
      <c r="A44" s="361">
        <v>43</v>
      </c>
      <c r="B44" s="362" t="str">
        <f>C44&amp;"x"&amp;F44&amp;"x"&amp;G44</f>
        <v>HN250x125x6x9</v>
      </c>
      <c r="C44" s="375" t="s">
        <v>63</v>
      </c>
      <c r="D44" s="368">
        <v>250</v>
      </c>
      <c r="E44" s="368">
        <v>125</v>
      </c>
      <c r="F44" s="368">
        <v>6</v>
      </c>
      <c r="G44" s="368">
        <v>9</v>
      </c>
      <c r="H44" s="368">
        <v>16</v>
      </c>
      <c r="I44" s="368">
        <v>32.89</v>
      </c>
      <c r="J44" s="368">
        <v>29.7</v>
      </c>
      <c r="K44" s="368">
        <v>4080</v>
      </c>
      <c r="L44" s="368">
        <v>326</v>
      </c>
      <c r="M44" s="368">
        <v>10.4</v>
      </c>
      <c r="N44" s="368">
        <v>294</v>
      </c>
      <c r="O44" s="368">
        <v>47</v>
      </c>
      <c r="P44" s="368">
        <v>2.79</v>
      </c>
    </row>
    <row r="45" spans="1:16" ht="12.75">
      <c r="A45" s="361">
        <v>44</v>
      </c>
      <c r="B45" s="362" t="str">
        <f t="shared" si="0"/>
        <v>HN298x149x5.5x8</v>
      </c>
      <c r="C45" s="375" t="s">
        <v>64</v>
      </c>
      <c r="D45" s="368">
        <v>298</v>
      </c>
      <c r="E45" s="368">
        <v>149</v>
      </c>
      <c r="F45" s="368">
        <v>5.5</v>
      </c>
      <c r="G45" s="368">
        <v>8</v>
      </c>
      <c r="H45" s="368">
        <v>16</v>
      </c>
      <c r="I45" s="368">
        <v>37.87</v>
      </c>
      <c r="J45" s="368">
        <v>32.6</v>
      </c>
      <c r="K45" s="368">
        <v>6460</v>
      </c>
      <c r="L45" s="368">
        <v>433</v>
      </c>
      <c r="M45" s="368">
        <v>12.4</v>
      </c>
      <c r="N45" s="368">
        <v>443</v>
      </c>
      <c r="O45" s="368">
        <v>59.4</v>
      </c>
      <c r="P45" s="368">
        <v>3.26</v>
      </c>
    </row>
    <row r="46" spans="1:16" ht="12.75">
      <c r="A46" s="361">
        <v>45</v>
      </c>
      <c r="B46" s="362" t="str">
        <f t="shared" si="0"/>
        <v>HN300x150x6.5x9</v>
      </c>
      <c r="C46" s="375" t="s">
        <v>65</v>
      </c>
      <c r="D46" s="368">
        <v>300</v>
      </c>
      <c r="E46" s="368">
        <v>150</v>
      </c>
      <c r="F46" s="368">
        <v>6.5</v>
      </c>
      <c r="G46" s="368">
        <v>9</v>
      </c>
      <c r="H46" s="368">
        <v>16</v>
      </c>
      <c r="I46" s="368">
        <v>41.55</v>
      </c>
      <c r="J46" s="368">
        <v>37.3</v>
      </c>
      <c r="K46" s="368">
        <v>7350</v>
      </c>
      <c r="L46" s="368">
        <v>490</v>
      </c>
      <c r="M46" s="368">
        <v>12.4</v>
      </c>
      <c r="N46" s="368">
        <v>508</v>
      </c>
      <c r="O46" s="368">
        <v>67.7</v>
      </c>
      <c r="P46" s="368">
        <v>3.27</v>
      </c>
    </row>
    <row r="47" spans="1:16" ht="12.75">
      <c r="A47" s="361">
        <v>46</v>
      </c>
      <c r="B47" s="362" t="str">
        <f t="shared" si="0"/>
        <v>HN346x174x6x9</v>
      </c>
      <c r="C47" s="375" t="s">
        <v>66</v>
      </c>
      <c r="D47" s="368">
        <v>346</v>
      </c>
      <c r="E47" s="368">
        <v>174</v>
      </c>
      <c r="F47" s="368">
        <v>6</v>
      </c>
      <c r="G47" s="368">
        <v>9</v>
      </c>
      <c r="H47" s="368">
        <v>16</v>
      </c>
      <c r="I47" s="368">
        <v>47.53</v>
      </c>
      <c r="J47" s="368">
        <v>41.8</v>
      </c>
      <c r="K47" s="368">
        <v>11200</v>
      </c>
      <c r="L47" s="368">
        <v>649</v>
      </c>
      <c r="M47" s="368">
        <v>14.5</v>
      </c>
      <c r="N47" s="368">
        <v>792</v>
      </c>
      <c r="O47" s="368">
        <v>91</v>
      </c>
      <c r="P47" s="368">
        <v>3.86</v>
      </c>
    </row>
    <row r="48" spans="1:16" ht="12.75">
      <c r="A48" s="361">
        <v>47</v>
      </c>
      <c r="B48" s="362" t="str">
        <f t="shared" si="0"/>
        <v>HN350x175x7x11</v>
      </c>
      <c r="C48" s="375" t="s">
        <v>67</v>
      </c>
      <c r="D48" s="368">
        <v>350</v>
      </c>
      <c r="E48" s="368">
        <v>175</v>
      </c>
      <c r="F48" s="368">
        <v>7</v>
      </c>
      <c r="G48" s="368">
        <v>11</v>
      </c>
      <c r="H48" s="368">
        <v>16</v>
      </c>
      <c r="I48" s="368">
        <v>53.19</v>
      </c>
      <c r="J48" s="368">
        <v>50</v>
      </c>
      <c r="K48" s="368">
        <v>13700</v>
      </c>
      <c r="L48" s="368">
        <v>782</v>
      </c>
      <c r="M48" s="368">
        <v>14.7</v>
      </c>
      <c r="N48" s="368">
        <v>985</v>
      </c>
      <c r="O48" s="368">
        <v>113</v>
      </c>
      <c r="P48" s="368">
        <v>3.93</v>
      </c>
    </row>
    <row r="49" spans="1:16" ht="12.75">
      <c r="A49" s="361">
        <v>48</v>
      </c>
      <c r="B49" s="362" t="str">
        <f t="shared" si="0"/>
        <v>HN400x150x8x13</v>
      </c>
      <c r="C49" s="368" t="s">
        <v>68</v>
      </c>
      <c r="D49" s="368">
        <v>400</v>
      </c>
      <c r="E49" s="368">
        <v>150</v>
      </c>
      <c r="F49" s="368">
        <v>8</v>
      </c>
      <c r="G49" s="368">
        <v>13</v>
      </c>
      <c r="H49" s="368">
        <v>16</v>
      </c>
      <c r="I49" s="368">
        <v>71.12</v>
      </c>
      <c r="J49" s="368">
        <v>55.8</v>
      </c>
      <c r="K49" s="368">
        <v>18800</v>
      </c>
      <c r="L49" s="368">
        <v>942</v>
      </c>
      <c r="M49" s="368">
        <v>16.3</v>
      </c>
      <c r="N49" s="368">
        <v>734</v>
      </c>
      <c r="O49" s="368">
        <v>97.9</v>
      </c>
      <c r="P49" s="368">
        <v>3.21</v>
      </c>
    </row>
    <row r="50" spans="1:16" ht="12.75">
      <c r="A50" s="361">
        <v>49</v>
      </c>
      <c r="B50" s="362" t="str">
        <f t="shared" si="0"/>
        <v>HN396x199x7x11</v>
      </c>
      <c r="C50" s="375" t="s">
        <v>69</v>
      </c>
      <c r="D50" s="368">
        <v>396</v>
      </c>
      <c r="E50" s="368">
        <v>199</v>
      </c>
      <c r="F50" s="368">
        <v>7</v>
      </c>
      <c r="G50" s="368">
        <v>11</v>
      </c>
      <c r="H50" s="368">
        <v>16</v>
      </c>
      <c r="I50" s="368">
        <v>71.12</v>
      </c>
      <c r="J50" s="368">
        <v>56.7</v>
      </c>
      <c r="K50" s="368">
        <v>20000</v>
      </c>
      <c r="L50" s="368">
        <v>1010</v>
      </c>
      <c r="M50" s="368">
        <v>16.7</v>
      </c>
      <c r="N50" s="368">
        <v>1450</v>
      </c>
      <c r="O50" s="368">
        <v>145</v>
      </c>
      <c r="P50" s="368">
        <v>4.48</v>
      </c>
    </row>
    <row r="51" spans="1:16" ht="12.75">
      <c r="A51" s="361">
        <v>50</v>
      </c>
      <c r="B51" s="362" t="str">
        <f t="shared" si="0"/>
        <v>HN400x200x8x13</v>
      </c>
      <c r="C51" s="375" t="s">
        <v>70</v>
      </c>
      <c r="D51" s="368">
        <v>400</v>
      </c>
      <c r="E51" s="368">
        <v>200</v>
      </c>
      <c r="F51" s="368">
        <v>8</v>
      </c>
      <c r="G51" s="368">
        <v>13</v>
      </c>
      <c r="H51" s="368">
        <v>16</v>
      </c>
      <c r="I51" s="368">
        <v>84.12</v>
      </c>
      <c r="J51" s="368">
        <v>66</v>
      </c>
      <c r="K51" s="368">
        <v>23700</v>
      </c>
      <c r="L51" s="368">
        <v>1190</v>
      </c>
      <c r="M51" s="368">
        <v>16.8</v>
      </c>
      <c r="N51" s="368">
        <v>1740</v>
      </c>
      <c r="O51" s="368">
        <v>174</v>
      </c>
      <c r="P51" s="368">
        <v>4.54</v>
      </c>
    </row>
    <row r="52" spans="1:16" ht="12.75">
      <c r="A52" s="361">
        <v>51</v>
      </c>
      <c r="B52" s="362" t="str">
        <f t="shared" si="0"/>
        <v>HN450x150x9x14</v>
      </c>
      <c r="C52" s="368" t="s">
        <v>71</v>
      </c>
      <c r="D52" s="368">
        <v>450</v>
      </c>
      <c r="E52" s="368">
        <v>150</v>
      </c>
      <c r="F52" s="368">
        <v>9</v>
      </c>
      <c r="G52" s="368">
        <v>14</v>
      </c>
      <c r="H52" s="368">
        <v>20</v>
      </c>
      <c r="I52" s="368">
        <v>83.41</v>
      </c>
      <c r="J52" s="368">
        <v>65.5</v>
      </c>
      <c r="K52" s="368">
        <v>27100</v>
      </c>
      <c r="L52" s="368">
        <v>1200</v>
      </c>
      <c r="M52" s="368">
        <v>18</v>
      </c>
      <c r="N52" s="368">
        <v>793</v>
      </c>
      <c r="O52" s="368">
        <v>106</v>
      </c>
      <c r="P52" s="368">
        <v>3.08</v>
      </c>
    </row>
    <row r="53" spans="1:16" ht="12.75">
      <c r="A53" s="361">
        <v>52</v>
      </c>
      <c r="B53" s="362" t="str">
        <f t="shared" si="0"/>
        <v>HN446x199x8x12</v>
      </c>
      <c r="C53" s="375" t="s">
        <v>72</v>
      </c>
      <c r="D53" s="368">
        <v>446</v>
      </c>
      <c r="E53" s="368">
        <v>199</v>
      </c>
      <c r="F53" s="368">
        <v>8</v>
      </c>
      <c r="G53" s="368">
        <v>12</v>
      </c>
      <c r="H53" s="368">
        <v>20</v>
      </c>
      <c r="I53" s="368">
        <v>84.95</v>
      </c>
      <c r="J53" s="368">
        <v>66.7</v>
      </c>
      <c r="K53" s="368">
        <v>29000</v>
      </c>
      <c r="L53" s="368">
        <v>1300</v>
      </c>
      <c r="M53" s="368">
        <v>18.5</v>
      </c>
      <c r="N53" s="368">
        <v>1580</v>
      </c>
      <c r="O53" s="368">
        <v>159</v>
      </c>
      <c r="P53" s="368">
        <v>4.31</v>
      </c>
    </row>
    <row r="54" spans="1:16" ht="12.75">
      <c r="A54" s="361">
        <v>53</v>
      </c>
      <c r="B54" s="362" t="str">
        <f t="shared" si="0"/>
        <v>HN450x200x9x14</v>
      </c>
      <c r="C54" s="375" t="s">
        <v>73</v>
      </c>
      <c r="D54" s="368">
        <v>450</v>
      </c>
      <c r="E54" s="368">
        <v>200</v>
      </c>
      <c r="F54" s="368">
        <v>9</v>
      </c>
      <c r="G54" s="368">
        <v>14</v>
      </c>
      <c r="H54" s="368">
        <v>20</v>
      </c>
      <c r="I54" s="368">
        <v>97.41</v>
      </c>
      <c r="J54" s="368">
        <v>76.5</v>
      </c>
      <c r="K54" s="368">
        <v>33700</v>
      </c>
      <c r="L54" s="368">
        <v>1500</v>
      </c>
      <c r="M54" s="368">
        <v>18.6</v>
      </c>
      <c r="N54" s="368">
        <v>1870</v>
      </c>
      <c r="O54" s="368">
        <v>187</v>
      </c>
      <c r="P54" s="368">
        <v>4.38</v>
      </c>
    </row>
    <row r="55" spans="1:16" ht="12.75">
      <c r="A55" s="361">
        <v>54</v>
      </c>
      <c r="B55" s="362" t="str">
        <f t="shared" si="0"/>
        <v>HN500x150x10x16</v>
      </c>
      <c r="C55" s="368" t="s">
        <v>74</v>
      </c>
      <c r="D55" s="368">
        <v>500</v>
      </c>
      <c r="E55" s="368">
        <v>150</v>
      </c>
      <c r="F55" s="368">
        <v>10</v>
      </c>
      <c r="G55" s="368">
        <v>16</v>
      </c>
      <c r="H55" s="368">
        <v>20</v>
      </c>
      <c r="I55" s="368">
        <v>98.23</v>
      </c>
      <c r="J55" s="368">
        <v>77.1</v>
      </c>
      <c r="K55" s="368">
        <v>38500</v>
      </c>
      <c r="L55" s="368">
        <v>1540</v>
      </c>
      <c r="M55" s="368">
        <v>19.8</v>
      </c>
      <c r="N55" s="368">
        <v>907</v>
      </c>
      <c r="O55" s="368">
        <v>121</v>
      </c>
      <c r="P55" s="368">
        <v>3.04</v>
      </c>
    </row>
    <row r="56" spans="1:16" ht="12.75">
      <c r="A56" s="361">
        <v>55</v>
      </c>
      <c r="B56" s="362" t="str">
        <f t="shared" si="0"/>
        <v>HN496x199x9x14</v>
      </c>
      <c r="C56" s="375" t="s">
        <v>75</v>
      </c>
      <c r="D56" s="368">
        <v>496</v>
      </c>
      <c r="E56" s="368">
        <v>199</v>
      </c>
      <c r="F56" s="368">
        <v>9</v>
      </c>
      <c r="G56" s="368">
        <v>14</v>
      </c>
      <c r="H56" s="368">
        <v>20</v>
      </c>
      <c r="I56" s="368">
        <v>101.3</v>
      </c>
      <c r="J56" s="368">
        <v>79.5</v>
      </c>
      <c r="K56" s="368">
        <v>41900</v>
      </c>
      <c r="L56" s="368">
        <v>1690</v>
      </c>
      <c r="M56" s="368">
        <v>20.3</v>
      </c>
      <c r="N56" s="368">
        <v>1840</v>
      </c>
      <c r="O56" s="368">
        <v>185</v>
      </c>
      <c r="P56" s="368">
        <v>4.27</v>
      </c>
    </row>
    <row r="57" spans="1:16" ht="12.75">
      <c r="A57" s="361">
        <v>56</v>
      </c>
      <c r="B57" s="362" t="str">
        <f t="shared" si="0"/>
        <v>HN500x200x10x16</v>
      </c>
      <c r="C57" s="375" t="s">
        <v>76</v>
      </c>
      <c r="D57" s="368">
        <v>500</v>
      </c>
      <c r="E57" s="368">
        <v>200</v>
      </c>
      <c r="F57" s="368">
        <v>10</v>
      </c>
      <c r="G57" s="368">
        <v>16</v>
      </c>
      <c r="H57" s="368">
        <v>20</v>
      </c>
      <c r="I57" s="368">
        <v>114.2</v>
      </c>
      <c r="J57" s="368">
        <v>89.6</v>
      </c>
      <c r="K57" s="368">
        <v>47800</v>
      </c>
      <c r="L57" s="368">
        <v>1910</v>
      </c>
      <c r="M57" s="368">
        <v>20.5</v>
      </c>
      <c r="N57" s="368">
        <v>2140</v>
      </c>
      <c r="O57" s="368">
        <v>214</v>
      </c>
      <c r="P57" s="368">
        <v>4.33</v>
      </c>
    </row>
    <row r="58" spans="1:16" ht="12.75">
      <c r="A58" s="361">
        <v>57</v>
      </c>
      <c r="B58" s="362" t="str">
        <f t="shared" si="0"/>
        <v>HN506x201x11x19</v>
      </c>
      <c r="C58" s="375" t="s">
        <v>77</v>
      </c>
      <c r="D58" s="368">
        <v>506</v>
      </c>
      <c r="E58" s="368">
        <v>201</v>
      </c>
      <c r="F58" s="368">
        <v>11</v>
      </c>
      <c r="G58" s="368">
        <v>19</v>
      </c>
      <c r="H58" s="368">
        <v>20</v>
      </c>
      <c r="I58" s="368">
        <v>131.3</v>
      </c>
      <c r="J58" s="368">
        <v>103</v>
      </c>
      <c r="K58" s="368">
        <v>56500</v>
      </c>
      <c r="L58" s="368">
        <v>2230</v>
      </c>
      <c r="M58" s="368">
        <v>20.8</v>
      </c>
      <c r="N58" s="368">
        <v>2580</v>
      </c>
      <c r="O58" s="368">
        <v>257</v>
      </c>
      <c r="P58" s="368">
        <v>4.43</v>
      </c>
    </row>
    <row r="59" spans="1:16" ht="12.75">
      <c r="A59" s="361">
        <v>58</v>
      </c>
      <c r="B59" s="362" t="str">
        <f t="shared" si="0"/>
        <v>HN596x199x10x15</v>
      </c>
      <c r="C59" s="375" t="s">
        <v>78</v>
      </c>
      <c r="D59" s="368">
        <v>596</v>
      </c>
      <c r="E59" s="368">
        <v>199</v>
      </c>
      <c r="F59" s="368">
        <v>10</v>
      </c>
      <c r="G59" s="368">
        <v>15</v>
      </c>
      <c r="H59" s="368">
        <v>24</v>
      </c>
      <c r="I59" s="368">
        <v>121.2</v>
      </c>
      <c r="J59" s="368">
        <v>95.1</v>
      </c>
      <c r="K59" s="368">
        <v>69300</v>
      </c>
      <c r="L59" s="368">
        <v>2330</v>
      </c>
      <c r="M59" s="368">
        <v>23.9</v>
      </c>
      <c r="N59" s="368">
        <v>1980</v>
      </c>
      <c r="O59" s="368">
        <v>199</v>
      </c>
      <c r="P59" s="368">
        <v>4.04</v>
      </c>
    </row>
    <row r="60" spans="1:16" ht="12.75">
      <c r="A60" s="361">
        <v>59</v>
      </c>
      <c r="B60" s="362" t="str">
        <f t="shared" si="0"/>
        <v>HN600x200x11x17</v>
      </c>
      <c r="C60" s="375" t="s">
        <v>79</v>
      </c>
      <c r="D60" s="368">
        <v>600</v>
      </c>
      <c r="E60" s="368">
        <v>200</v>
      </c>
      <c r="F60" s="368">
        <v>11</v>
      </c>
      <c r="G60" s="368">
        <v>17</v>
      </c>
      <c r="H60" s="368">
        <v>24</v>
      </c>
      <c r="I60" s="368">
        <v>135.2</v>
      </c>
      <c r="J60" s="368">
        <v>106</v>
      </c>
      <c r="K60" s="368">
        <v>78200</v>
      </c>
      <c r="L60" s="368">
        <v>2610</v>
      </c>
      <c r="M60" s="368">
        <v>24.1</v>
      </c>
      <c r="N60" s="368">
        <v>2280</v>
      </c>
      <c r="O60" s="368">
        <v>228</v>
      </c>
      <c r="P60" s="368">
        <v>4.11</v>
      </c>
    </row>
    <row r="61" spans="1:16" ht="12.75">
      <c r="A61" s="361">
        <v>60</v>
      </c>
      <c r="B61" s="362" t="str">
        <f t="shared" si="0"/>
        <v>HN606x201x12x20</v>
      </c>
      <c r="C61" s="375" t="s">
        <v>80</v>
      </c>
      <c r="D61" s="368">
        <v>606</v>
      </c>
      <c r="E61" s="368">
        <v>201</v>
      </c>
      <c r="F61" s="368">
        <v>12</v>
      </c>
      <c r="G61" s="368">
        <v>20</v>
      </c>
      <c r="H61" s="368">
        <v>24</v>
      </c>
      <c r="I61" s="368">
        <v>153.3</v>
      </c>
      <c r="J61" s="368">
        <v>120</v>
      </c>
      <c r="K61" s="368">
        <v>91000</v>
      </c>
      <c r="L61" s="368">
        <v>3000</v>
      </c>
      <c r="M61" s="368">
        <v>24.4</v>
      </c>
      <c r="N61" s="368">
        <v>2720</v>
      </c>
      <c r="O61" s="368">
        <v>271</v>
      </c>
      <c r="P61" s="368">
        <v>4.21</v>
      </c>
    </row>
    <row r="62" spans="1:16" ht="12.75">
      <c r="A62" s="361">
        <v>61</v>
      </c>
      <c r="B62" s="362" t="str">
        <f t="shared" si="0"/>
        <v>HN692x300x13x20</v>
      </c>
      <c r="C62" s="375" t="s">
        <v>81</v>
      </c>
      <c r="D62" s="368">
        <v>692</v>
      </c>
      <c r="E62" s="368">
        <v>300</v>
      </c>
      <c r="F62" s="368">
        <v>13</v>
      </c>
      <c r="G62" s="368">
        <v>20</v>
      </c>
      <c r="H62" s="368">
        <v>28</v>
      </c>
      <c r="I62" s="368">
        <v>211.5</v>
      </c>
      <c r="J62" s="368">
        <v>166</v>
      </c>
      <c r="K62" s="368">
        <v>172000</v>
      </c>
      <c r="L62" s="368">
        <v>4980</v>
      </c>
      <c r="M62" s="368">
        <v>28.6</v>
      </c>
      <c r="N62" s="368">
        <v>9020</v>
      </c>
      <c r="O62" s="368">
        <v>602</v>
      </c>
      <c r="P62" s="368">
        <v>6.53</v>
      </c>
    </row>
    <row r="63" spans="1:16" ht="12.75">
      <c r="A63" s="361">
        <v>62</v>
      </c>
      <c r="B63" s="362" t="str">
        <f t="shared" si="0"/>
        <v>HN700x300x13x24</v>
      </c>
      <c r="C63" s="375" t="s">
        <v>82</v>
      </c>
      <c r="D63" s="368">
        <v>700</v>
      </c>
      <c r="E63" s="368">
        <v>300</v>
      </c>
      <c r="F63" s="368">
        <v>13</v>
      </c>
      <c r="G63" s="368">
        <v>24</v>
      </c>
      <c r="H63" s="368">
        <v>28</v>
      </c>
      <c r="I63" s="368">
        <v>235.5</v>
      </c>
      <c r="J63" s="368">
        <v>185</v>
      </c>
      <c r="K63" s="368">
        <v>201000</v>
      </c>
      <c r="L63" s="368">
        <v>5760</v>
      </c>
      <c r="M63" s="368">
        <v>29.3</v>
      </c>
      <c r="N63" s="368">
        <v>10800</v>
      </c>
      <c r="O63" s="368">
        <v>722</v>
      </c>
      <c r="P63" s="368">
        <v>6.78</v>
      </c>
    </row>
    <row r="64" spans="1:16" ht="12.75">
      <c r="A64" s="361">
        <v>63</v>
      </c>
      <c r="B64" s="362" t="str">
        <f t="shared" si="0"/>
        <v>HN792x300x14x22</v>
      </c>
      <c r="C64" s="375" t="s">
        <v>83</v>
      </c>
      <c r="D64" s="368">
        <v>792</v>
      </c>
      <c r="E64" s="368">
        <v>300</v>
      </c>
      <c r="F64" s="368">
        <v>14</v>
      </c>
      <c r="G64" s="368">
        <v>22</v>
      </c>
      <c r="H64" s="368">
        <v>28</v>
      </c>
      <c r="I64" s="368">
        <v>243.4</v>
      </c>
      <c r="J64" s="368">
        <v>191</v>
      </c>
      <c r="K64" s="368">
        <v>254000</v>
      </c>
      <c r="L64" s="368">
        <v>6400</v>
      </c>
      <c r="M64" s="368">
        <v>32.3</v>
      </c>
      <c r="N64" s="368">
        <v>9930</v>
      </c>
      <c r="O64" s="368">
        <v>662</v>
      </c>
      <c r="P64" s="368">
        <v>6.39</v>
      </c>
    </row>
    <row r="65" spans="1:16" ht="12.75">
      <c r="A65" s="361">
        <v>64</v>
      </c>
      <c r="B65" s="362" t="str">
        <f t="shared" si="0"/>
        <v>HN800x300x14x26</v>
      </c>
      <c r="C65" s="375" t="s">
        <v>84</v>
      </c>
      <c r="D65" s="368">
        <v>800</v>
      </c>
      <c r="E65" s="368">
        <v>300</v>
      </c>
      <c r="F65" s="368">
        <v>14</v>
      </c>
      <c r="G65" s="368">
        <v>26</v>
      </c>
      <c r="H65" s="368">
        <v>28</v>
      </c>
      <c r="I65" s="368">
        <v>267.4</v>
      </c>
      <c r="J65" s="368">
        <v>210</v>
      </c>
      <c r="K65" s="368">
        <v>292000</v>
      </c>
      <c r="L65" s="368">
        <v>7290</v>
      </c>
      <c r="M65" s="368">
        <v>33</v>
      </c>
      <c r="N65" s="368">
        <v>11700</v>
      </c>
      <c r="O65" s="368">
        <v>782</v>
      </c>
      <c r="P65" s="368">
        <v>6.62</v>
      </c>
    </row>
    <row r="66" spans="1:16" ht="12.75">
      <c r="A66" s="361">
        <v>65</v>
      </c>
      <c r="B66" s="362" t="str">
        <f t="shared" si="0"/>
        <v>HN890x299x15x23</v>
      </c>
      <c r="C66" s="375" t="s">
        <v>85</v>
      </c>
      <c r="D66" s="368">
        <v>890</v>
      </c>
      <c r="E66" s="368">
        <v>299</v>
      </c>
      <c r="F66" s="368">
        <v>15</v>
      </c>
      <c r="G66" s="368">
        <v>23</v>
      </c>
      <c r="H66" s="368">
        <v>28</v>
      </c>
      <c r="I66" s="368">
        <v>270.9</v>
      </c>
      <c r="J66" s="368">
        <v>213</v>
      </c>
      <c r="K66" s="368">
        <v>345000</v>
      </c>
      <c r="L66" s="368">
        <v>7760</v>
      </c>
      <c r="M66" s="368">
        <v>35.7</v>
      </c>
      <c r="N66" s="368">
        <v>10300</v>
      </c>
      <c r="O66" s="368">
        <v>688</v>
      </c>
      <c r="P66" s="368">
        <v>6.16</v>
      </c>
    </row>
    <row r="67" spans="1:16" ht="12.75">
      <c r="A67" s="361">
        <v>66</v>
      </c>
      <c r="B67" s="362" t="str">
        <f>C67&amp;"x"&amp;F67&amp;"x"&amp;G67</f>
        <v>HN900x300x16x28</v>
      </c>
      <c r="C67" s="375" t="s">
        <v>86</v>
      </c>
      <c r="D67" s="368">
        <v>900</v>
      </c>
      <c r="E67" s="368">
        <v>300</v>
      </c>
      <c r="F67" s="368">
        <v>16</v>
      </c>
      <c r="G67" s="368">
        <v>28</v>
      </c>
      <c r="H67" s="368">
        <v>28</v>
      </c>
      <c r="I67" s="368">
        <v>309.8</v>
      </c>
      <c r="J67" s="368">
        <v>243</v>
      </c>
      <c r="K67" s="368">
        <v>411000</v>
      </c>
      <c r="L67" s="368">
        <v>9140</v>
      </c>
      <c r="M67" s="368">
        <v>36.4</v>
      </c>
      <c r="N67" s="368">
        <v>12600</v>
      </c>
      <c r="O67" s="368">
        <v>843</v>
      </c>
      <c r="P67" s="368">
        <v>6.39</v>
      </c>
    </row>
    <row r="68" spans="1:16" ht="12.75">
      <c r="A68" s="361">
        <v>67</v>
      </c>
      <c r="B68" s="362" t="str">
        <f>C68&amp;"x"&amp;F68&amp;"x"&amp;G68</f>
        <v>HN912x302x18x34</v>
      </c>
      <c r="C68" s="375" t="s">
        <v>87</v>
      </c>
      <c r="D68" s="368">
        <v>912</v>
      </c>
      <c r="E68" s="368">
        <v>302</v>
      </c>
      <c r="F68" s="368">
        <v>18</v>
      </c>
      <c r="G68" s="368">
        <v>34</v>
      </c>
      <c r="H68" s="368">
        <v>28</v>
      </c>
      <c r="I68" s="368">
        <v>364</v>
      </c>
      <c r="J68" s="368">
        <v>286</v>
      </c>
      <c r="K68" s="368">
        <v>498000</v>
      </c>
      <c r="L68" s="368">
        <v>10900</v>
      </c>
      <c r="M68" s="368">
        <v>37</v>
      </c>
      <c r="N68" s="368">
        <v>15700</v>
      </c>
      <c r="O68" s="368">
        <v>1040</v>
      </c>
      <c r="P68" s="368">
        <v>6.56</v>
      </c>
    </row>
  </sheetData>
  <sheetProtection password="F3E5" sheet="1" selectLockedCells="1" selectUnlockedCells="1"/>
  <mergeCells count="1">
    <mergeCell ref="Q1:R1"/>
  </mergeCells>
  <hyperlinks>
    <hyperlink ref="Q1" r:id="rId1" display="www.machinemfg.com"/>
  </hyperlinks>
  <printOptions/>
  <pageMargins left="0.15748031496062992" right="0.15748031496062992" top="0.984251968503937" bottom="0.984251968503937" header="0.5118110236220472" footer="0.5118110236220472"/>
  <pageSetup horizontalDpi="600" verticalDpi="600" orientation="landscape" paperSize="9" r:id="rId2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1:AD104"/>
  <sheetViews>
    <sheetView showGridLines="0" zoomScalePageLayoutView="0" workbookViewId="0" topLeftCell="A1">
      <selection activeCell="A3" sqref="A3"/>
    </sheetView>
  </sheetViews>
  <sheetFormatPr defaultColWidth="9.140625" defaultRowHeight="12.75"/>
  <cols>
    <col min="1" max="1" width="3.7109375" style="141" bestFit="1" customWidth="1"/>
    <col min="2" max="2" width="41.28125" style="141" customWidth="1"/>
    <col min="3" max="3" width="6.140625" style="141" bestFit="1" customWidth="1"/>
    <col min="4" max="4" width="8.8515625" style="141" customWidth="1"/>
    <col min="5" max="5" width="7.7109375" style="142" bestFit="1" customWidth="1"/>
    <col min="6" max="6" width="7.28125" style="141" bestFit="1" customWidth="1"/>
    <col min="7" max="7" width="19.28125" style="141" customWidth="1"/>
    <col min="8" max="8" width="8.421875" style="141" bestFit="1" customWidth="1"/>
    <col min="9" max="9" width="6.00390625" style="141" bestFit="1" customWidth="1"/>
    <col min="10" max="10" width="26.28125" style="141" customWidth="1"/>
    <col min="11" max="18" width="8.8515625" style="141" customWidth="1"/>
    <col min="19" max="30" width="8.8515625" style="269" customWidth="1"/>
    <col min="31" max="16384" width="8.8515625" style="141" customWidth="1"/>
  </cols>
  <sheetData>
    <row r="1" spans="19:30" ht="6.75" customHeight="1">
      <c r="S1" s="270">
        <v>1</v>
      </c>
      <c r="T1" s="270"/>
      <c r="U1" s="270"/>
      <c r="V1" s="270"/>
      <c r="W1" s="270"/>
      <c r="X1" s="270"/>
      <c r="Y1" s="270"/>
      <c r="Z1" s="270"/>
      <c r="AA1" s="270"/>
      <c r="AB1" s="270"/>
      <c r="AC1" s="272" t="s">
        <v>216</v>
      </c>
      <c r="AD1" s="270"/>
    </row>
    <row r="2" spans="1:30" ht="11.25" customHeight="1" thickBot="1">
      <c r="A2" s="387" t="s">
        <v>366</v>
      </c>
      <c r="B2" s="387"/>
      <c r="S2" s="270">
        <v>2</v>
      </c>
      <c r="T2" s="271" t="s">
        <v>297</v>
      </c>
      <c r="U2" s="271"/>
      <c r="V2" s="271"/>
      <c r="W2" s="271"/>
      <c r="X2" s="271"/>
      <c r="Y2" s="271"/>
      <c r="Z2" s="272">
        <v>0.69</v>
      </c>
      <c r="AA2" s="272">
        <v>0.13</v>
      </c>
      <c r="AB2" s="270">
        <v>0.95</v>
      </c>
      <c r="AC2" s="273">
        <f>IF(D22&lt;=2,Z2+AA2*D22,0.95)</f>
        <v>0.7563265306122449</v>
      </c>
      <c r="AD2" s="270"/>
    </row>
    <row r="3" spans="1:30" ht="12.75">
      <c r="A3" s="59">
        <v>1</v>
      </c>
      <c r="B3" s="143" t="s">
        <v>261</v>
      </c>
      <c r="C3" s="144"/>
      <c r="D3" s="145"/>
      <c r="F3" s="33">
        <v>26</v>
      </c>
      <c r="G3" s="208" t="s">
        <v>266</v>
      </c>
      <c r="H3" s="144"/>
      <c r="I3" s="147"/>
      <c r="J3" s="148"/>
      <c r="K3" s="149"/>
      <c r="L3" s="150"/>
      <c r="S3" s="270">
        <v>3</v>
      </c>
      <c r="T3" s="271" t="s">
        <v>300</v>
      </c>
      <c r="U3" s="271"/>
      <c r="V3" s="271"/>
      <c r="W3" s="271"/>
      <c r="X3" s="271"/>
      <c r="Y3" s="271"/>
      <c r="Z3" s="272">
        <v>1.73</v>
      </c>
      <c r="AA3" s="272">
        <v>-0.2</v>
      </c>
      <c r="AB3" s="270">
        <v>1.33</v>
      </c>
      <c r="AC3" s="273">
        <f>IF(D22&lt;=2,1.73-0.2*D22,1.33)</f>
        <v>1.6279591836734695</v>
      </c>
      <c r="AD3" s="270"/>
    </row>
    <row r="4" spans="2:30" ht="12.75">
      <c r="B4" s="151" t="s">
        <v>262</v>
      </c>
      <c r="C4" s="152"/>
      <c r="D4" s="153"/>
      <c r="G4" s="209" t="s">
        <v>267</v>
      </c>
      <c r="H4" s="155"/>
      <c r="I4" s="152"/>
      <c r="J4" s="156" t="s">
        <v>274</v>
      </c>
      <c r="K4" s="4">
        <f>H10/10000*7850</f>
        <v>57.32855000000001</v>
      </c>
      <c r="L4" s="157" t="s">
        <v>214</v>
      </c>
      <c r="S4" s="270">
        <v>4</v>
      </c>
      <c r="T4" s="270"/>
      <c r="U4" s="270"/>
      <c r="V4" s="270"/>
      <c r="W4" s="270"/>
      <c r="X4" s="270"/>
      <c r="Y4" s="270"/>
      <c r="Z4" s="270"/>
      <c r="AA4" s="270"/>
      <c r="AB4" s="270"/>
      <c r="AC4" s="273"/>
      <c r="AD4" s="270"/>
    </row>
    <row r="5" spans="2:30" ht="12.75">
      <c r="B5" s="156" t="s">
        <v>263</v>
      </c>
      <c r="C5" s="55">
        <f>VLOOKUP(A3,A67:G85,5,FALSE)</f>
        <v>215</v>
      </c>
      <c r="D5" s="157" t="s">
        <v>19</v>
      </c>
      <c r="G5" s="156" t="s">
        <v>268</v>
      </c>
      <c r="H5" s="55">
        <f>VLOOKUP(F3,H!A2:P68,4,FALSE)</f>
        <v>294</v>
      </c>
      <c r="I5" s="155" t="s">
        <v>4</v>
      </c>
      <c r="J5" s="158" t="s">
        <v>275</v>
      </c>
      <c r="K5" s="55">
        <f>VLOOKUP(F3,H!A2:P68,11,FALSE)</f>
        <v>11400</v>
      </c>
      <c r="L5" s="157" t="s">
        <v>92</v>
      </c>
      <c r="S5" s="270">
        <v>5</v>
      </c>
      <c r="T5" s="271" t="s">
        <v>301</v>
      </c>
      <c r="U5" s="271"/>
      <c r="V5" s="271"/>
      <c r="W5" s="271"/>
      <c r="X5" s="271"/>
      <c r="Y5" s="271"/>
      <c r="Z5" s="272">
        <v>0.73</v>
      </c>
      <c r="AA5" s="272">
        <v>0.18</v>
      </c>
      <c r="AB5" s="270">
        <v>1.09</v>
      </c>
      <c r="AC5" s="273">
        <f>IF(D22&lt;=2,0.73+0.18*D22,1.09)</f>
        <v>0.8218367346938775</v>
      </c>
      <c r="AD5" s="270"/>
    </row>
    <row r="6" spans="2:30" ht="12.75">
      <c r="B6" s="156" t="s">
        <v>264</v>
      </c>
      <c r="C6" s="55">
        <f>VLOOKUP(A3,A67:G85,6,FALSE)</f>
        <v>125</v>
      </c>
      <c r="D6" s="157" t="s">
        <v>19</v>
      </c>
      <c r="G6" s="156" t="s">
        <v>269</v>
      </c>
      <c r="H6" s="55">
        <f>VLOOKUP(F3,H!A2:P68,5,FALSE)</f>
        <v>200</v>
      </c>
      <c r="I6" s="155" t="s">
        <v>4</v>
      </c>
      <c r="J6" s="158" t="s">
        <v>276</v>
      </c>
      <c r="K6" s="55">
        <f>VLOOKUP(F3,H!A2:P68,12,FALSE)</f>
        <v>779</v>
      </c>
      <c r="L6" s="157" t="s">
        <v>18</v>
      </c>
      <c r="S6" s="270">
        <v>6</v>
      </c>
      <c r="T6" s="271" t="s">
        <v>298</v>
      </c>
      <c r="U6" s="271"/>
      <c r="V6" s="271"/>
      <c r="W6" s="271"/>
      <c r="X6" s="271"/>
      <c r="Y6" s="271"/>
      <c r="Z6" s="272">
        <v>2.23</v>
      </c>
      <c r="AA6" s="272">
        <v>-0.28</v>
      </c>
      <c r="AB6" s="270">
        <v>1.67</v>
      </c>
      <c r="AC6" s="273">
        <f>IF(D22&lt;=2,2.23-0.28*D22,1.67)</f>
        <v>2.087142857142857</v>
      </c>
      <c r="AD6" s="270"/>
    </row>
    <row r="7" spans="2:30" ht="13.5" thickBot="1">
      <c r="B7" s="159" t="s">
        <v>265</v>
      </c>
      <c r="C7" s="68">
        <f>VLOOKUP(A3,A67:G85,7,FALSE)</f>
        <v>325</v>
      </c>
      <c r="D7" s="160" t="s">
        <v>19</v>
      </c>
      <c r="G7" s="156" t="s">
        <v>270</v>
      </c>
      <c r="H7" s="55">
        <f>VLOOKUP(F3,H!A2:P68,6,FALSE)</f>
        <v>8</v>
      </c>
      <c r="I7" s="155" t="s">
        <v>4</v>
      </c>
      <c r="J7" s="158" t="s">
        <v>277</v>
      </c>
      <c r="K7" s="55">
        <f>VLOOKUP(F3,H!A2:P68,13,FALSE)</f>
        <v>12.5</v>
      </c>
      <c r="L7" s="157" t="s">
        <v>177</v>
      </c>
      <c r="S7" s="270">
        <v>7</v>
      </c>
      <c r="T7" s="270"/>
      <c r="U7" s="270"/>
      <c r="V7" s="270"/>
      <c r="W7" s="270"/>
      <c r="X7" s="270"/>
      <c r="Y7" s="270"/>
      <c r="Z7" s="270"/>
      <c r="AA7" s="270"/>
      <c r="AB7" s="270"/>
      <c r="AC7" s="273"/>
      <c r="AD7" s="270"/>
    </row>
    <row r="8" spans="7:30" ht="12.75">
      <c r="G8" s="156" t="s">
        <v>271</v>
      </c>
      <c r="H8" s="55">
        <f>VLOOKUP(F3,H!A2:P68,7,FALSE)</f>
        <v>12</v>
      </c>
      <c r="I8" s="155" t="s">
        <v>4</v>
      </c>
      <c r="J8" s="158" t="s">
        <v>278</v>
      </c>
      <c r="K8" s="55">
        <f>VLOOKUP(F3,H!A2:P68,14,FALSE)</f>
        <v>1600</v>
      </c>
      <c r="L8" s="157" t="s">
        <v>92</v>
      </c>
      <c r="S8" s="270">
        <v>8</v>
      </c>
      <c r="T8" s="271" t="s">
        <v>302</v>
      </c>
      <c r="U8" s="271"/>
      <c r="V8" s="271"/>
      <c r="W8" s="271"/>
      <c r="X8" s="271"/>
      <c r="Y8" s="271"/>
      <c r="Z8" s="272">
        <v>1.15</v>
      </c>
      <c r="AA8" s="270"/>
      <c r="AB8" s="270"/>
      <c r="AC8" s="272">
        <v>1.15</v>
      </c>
      <c r="AD8" s="270"/>
    </row>
    <row r="9" spans="7:30" ht="12.75">
      <c r="G9" s="156" t="s">
        <v>272</v>
      </c>
      <c r="H9" s="55">
        <f>VLOOKUP(F3,H!A2:P68,8,FALSE)</f>
        <v>20</v>
      </c>
      <c r="I9" s="155" t="s">
        <v>4</v>
      </c>
      <c r="J9" s="158" t="s">
        <v>279</v>
      </c>
      <c r="K9" s="55">
        <f>VLOOKUP(F3,H!A2:P68,15,FALSE)</f>
        <v>160</v>
      </c>
      <c r="L9" s="157" t="s">
        <v>18</v>
      </c>
      <c r="S9" s="270">
        <v>9</v>
      </c>
      <c r="T9" s="271" t="s">
        <v>303</v>
      </c>
      <c r="U9" s="271"/>
      <c r="V9" s="271"/>
      <c r="W9" s="271"/>
      <c r="X9" s="271"/>
      <c r="Y9" s="271"/>
      <c r="Z9" s="272">
        <v>1.4</v>
      </c>
      <c r="AA9" s="270"/>
      <c r="AB9" s="270"/>
      <c r="AC9" s="272">
        <v>1.4</v>
      </c>
      <c r="AD9" s="270"/>
    </row>
    <row r="10" spans="7:30" ht="13.5" thickBot="1">
      <c r="G10" s="159" t="s">
        <v>273</v>
      </c>
      <c r="H10" s="68">
        <f>VLOOKUP(F3,H!A2:P68,9,FALSE)</f>
        <v>73.03</v>
      </c>
      <c r="I10" s="161" t="s">
        <v>176</v>
      </c>
      <c r="J10" s="162" t="s">
        <v>280</v>
      </c>
      <c r="K10" s="68">
        <f>VLOOKUP(F3,H!A2:P68,16,FALSE)</f>
        <v>4.69</v>
      </c>
      <c r="L10" s="160" t="s">
        <v>177</v>
      </c>
      <c r="S10" s="270">
        <v>10</v>
      </c>
      <c r="T10" s="271" t="s">
        <v>304</v>
      </c>
      <c r="U10" s="271"/>
      <c r="V10" s="271"/>
      <c r="W10" s="271"/>
      <c r="X10" s="271"/>
      <c r="Y10" s="271"/>
      <c r="Z10" s="272">
        <v>1.75</v>
      </c>
      <c r="AA10" s="270"/>
      <c r="AB10" s="270"/>
      <c r="AC10" s="272">
        <v>1.75</v>
      </c>
      <c r="AD10" s="270"/>
    </row>
    <row r="11" spans="19:30" ht="12.75">
      <c r="S11" s="270">
        <v>11</v>
      </c>
      <c r="T11" s="270"/>
      <c r="U11" s="270"/>
      <c r="V11" s="270"/>
      <c r="W11" s="270"/>
      <c r="X11" s="270"/>
      <c r="Y11" s="270"/>
      <c r="Z11" s="270"/>
      <c r="AA11" s="270"/>
      <c r="AB11" s="270"/>
      <c r="AC11" s="270"/>
      <c r="AD11" s="270"/>
    </row>
    <row r="12" spans="19:30" ht="13.5" thickBot="1">
      <c r="S12" s="270">
        <v>12</v>
      </c>
      <c r="T12" s="271" t="s">
        <v>305</v>
      </c>
      <c r="U12" s="271"/>
      <c r="V12" s="271"/>
      <c r="W12" s="271"/>
      <c r="X12" s="271"/>
      <c r="Y12" s="271"/>
      <c r="Z12" s="272">
        <v>1.2</v>
      </c>
      <c r="AA12" s="270"/>
      <c r="AB12" s="270"/>
      <c r="AC12" s="272">
        <v>1.2</v>
      </c>
      <c r="AD12" s="270"/>
    </row>
    <row r="13" spans="1:30" ht="15">
      <c r="A13" s="88"/>
      <c r="B13" s="267" t="s">
        <v>292</v>
      </c>
      <c r="C13" s="215"/>
      <c r="D13" s="216"/>
      <c r="E13" s="190"/>
      <c r="F13" s="217"/>
      <c r="G13" s="218"/>
      <c r="H13" s="205" t="s">
        <v>293</v>
      </c>
      <c r="I13" s="100"/>
      <c r="J13" s="219"/>
      <c r="K13" s="220"/>
      <c r="L13" s="220"/>
      <c r="M13" s="220"/>
      <c r="S13" s="270">
        <v>13</v>
      </c>
      <c r="T13" s="271" t="s">
        <v>306</v>
      </c>
      <c r="U13" s="271"/>
      <c r="V13" s="271"/>
      <c r="W13" s="271"/>
      <c r="X13" s="271"/>
      <c r="Y13" s="271"/>
      <c r="Z13" s="272">
        <v>1.4</v>
      </c>
      <c r="AA13" s="270"/>
      <c r="AB13" s="270"/>
      <c r="AC13" s="272">
        <v>1.4</v>
      </c>
      <c r="AD13" s="270"/>
    </row>
    <row r="14" spans="1:30" ht="15">
      <c r="A14" s="25">
        <v>9</v>
      </c>
      <c r="B14" s="221"/>
      <c r="C14" s="180"/>
      <c r="D14" s="180"/>
      <c r="E14" s="176"/>
      <c r="F14" s="222"/>
      <c r="G14" s="98"/>
      <c r="H14" s="158" t="s">
        <v>221</v>
      </c>
      <c r="I14" s="223">
        <v>300</v>
      </c>
      <c r="J14" s="224" t="s">
        <v>222</v>
      </c>
      <c r="K14" s="89"/>
      <c r="L14" s="123" t="s">
        <v>207</v>
      </c>
      <c r="M14" s="124">
        <f>D26*10^6/K6/1000+D27*10^6/K9/1000</f>
        <v>154.0436456996149</v>
      </c>
      <c r="S14" s="270">
        <v>14</v>
      </c>
      <c r="T14" s="270"/>
      <c r="U14" s="270"/>
      <c r="V14" s="270"/>
      <c r="W14" s="270"/>
      <c r="X14" s="270"/>
      <c r="Y14" s="270"/>
      <c r="Z14" s="270"/>
      <c r="AA14" s="270"/>
      <c r="AB14" s="270"/>
      <c r="AC14" s="273"/>
      <c r="AD14" s="270"/>
    </row>
    <row r="15" spans="1:30" ht="13.5" thickBot="1">
      <c r="A15" s="220"/>
      <c r="B15" s="225"/>
      <c r="C15" s="185"/>
      <c r="D15" s="185"/>
      <c r="E15" s="185"/>
      <c r="F15" s="226"/>
      <c r="G15" s="227"/>
      <c r="H15" s="158" t="s">
        <v>288</v>
      </c>
      <c r="I15" s="223">
        <v>-200</v>
      </c>
      <c r="J15" s="224" t="s">
        <v>289</v>
      </c>
      <c r="K15" s="228"/>
      <c r="L15" s="220"/>
      <c r="M15" s="220"/>
      <c r="S15" s="270">
        <v>15</v>
      </c>
      <c r="T15" s="271" t="s">
        <v>299</v>
      </c>
      <c r="U15" s="271"/>
      <c r="V15" s="271"/>
      <c r="W15" s="271"/>
      <c r="X15" s="271"/>
      <c r="Y15" s="271"/>
      <c r="Z15" s="270"/>
      <c r="AA15" s="270"/>
      <c r="AB15" s="270"/>
      <c r="AC15" s="273">
        <f>IF(Y18&gt;2.3,2.3,Y18)</f>
        <v>2.3</v>
      </c>
      <c r="AD15" s="270"/>
    </row>
    <row r="16" spans="1:30" ht="13.5" thickBot="1">
      <c r="A16" s="220"/>
      <c r="F16" s="220"/>
      <c r="G16" s="220"/>
      <c r="H16" s="220"/>
      <c r="I16" s="220"/>
      <c r="J16" s="222"/>
      <c r="K16" s="90"/>
      <c r="L16" s="220"/>
      <c r="M16" s="220"/>
      <c r="S16" s="270">
        <v>16</v>
      </c>
      <c r="T16" s="270"/>
      <c r="U16" s="270"/>
      <c r="V16" s="270"/>
      <c r="W16" s="270"/>
      <c r="X16" s="270"/>
      <c r="Y16" s="270"/>
      <c r="Z16" s="270"/>
      <c r="AA16" s="270"/>
      <c r="AB16" s="270"/>
      <c r="AC16" s="270"/>
      <c r="AD16" s="270"/>
    </row>
    <row r="17" spans="1:30" ht="12.75">
      <c r="A17" s="220"/>
      <c r="B17" s="163" t="s">
        <v>216</v>
      </c>
      <c r="C17" s="229"/>
      <c r="D17" s="230"/>
      <c r="E17" s="231"/>
      <c r="F17" s="232" t="s">
        <v>223</v>
      </c>
      <c r="G17" s="101">
        <f>D18/K10/10</f>
        <v>53.304904051172706</v>
      </c>
      <c r="H17" s="233"/>
      <c r="I17" s="268" t="s">
        <v>295</v>
      </c>
      <c r="J17" s="234"/>
      <c r="L17" s="90"/>
      <c r="M17" s="220"/>
      <c r="S17" s="270"/>
      <c r="T17" s="270"/>
      <c r="U17" s="270"/>
      <c r="V17" s="270"/>
      <c r="W17" s="270"/>
      <c r="X17" s="270"/>
      <c r="Y17" s="270"/>
      <c r="Z17" s="270"/>
      <c r="AA17" s="270"/>
      <c r="AB17" s="270"/>
      <c r="AC17" s="270"/>
      <c r="AD17" s="270"/>
    </row>
    <row r="18" spans="1:30" ht="15.75" thickBot="1">
      <c r="A18" s="220"/>
      <c r="B18" s="388" t="s">
        <v>294</v>
      </c>
      <c r="C18" s="389"/>
      <c r="D18" s="61">
        <v>2500</v>
      </c>
      <c r="E18" s="236" t="s">
        <v>215</v>
      </c>
      <c r="F18" s="158" t="s">
        <v>224</v>
      </c>
      <c r="G18" s="55">
        <f>VLOOKUP(A3,A67:H85,8,FALSE)</f>
        <v>235</v>
      </c>
      <c r="H18" s="198" t="s">
        <v>8</v>
      </c>
      <c r="I18" s="107" t="s">
        <v>225</v>
      </c>
      <c r="J18" s="106">
        <f>1.07-G17^2/44000*G18/235</f>
        <v>1.0054224364567108</v>
      </c>
      <c r="L18" s="90"/>
      <c r="M18" s="220"/>
      <c r="S18" s="270"/>
      <c r="T18" s="270"/>
      <c r="U18" s="270"/>
      <c r="V18" s="270"/>
      <c r="W18" s="270"/>
      <c r="X18" s="270" t="s">
        <v>231</v>
      </c>
      <c r="Y18" s="270">
        <f>1.75-1.05*(I15/I14)+0.3*(I15/I14)^2</f>
        <v>2.5833333333333335</v>
      </c>
      <c r="Z18" s="270"/>
      <c r="AA18" s="270"/>
      <c r="AB18" s="270"/>
      <c r="AC18" s="270"/>
      <c r="AD18" s="270"/>
    </row>
    <row r="19" spans="1:30" ht="12.75">
      <c r="A19" s="220"/>
      <c r="B19" s="237"/>
      <c r="C19" s="235" t="s">
        <v>290</v>
      </c>
      <c r="D19" s="191">
        <f>H8</f>
        <v>12</v>
      </c>
      <c r="E19" s="236" t="s">
        <v>215</v>
      </c>
      <c r="F19" s="238"/>
      <c r="G19" s="239"/>
      <c r="H19" s="240"/>
      <c r="I19" s="220"/>
      <c r="J19" s="220"/>
      <c r="K19" s="222"/>
      <c r="L19" s="90"/>
      <c r="M19" s="220"/>
      <c r="S19" s="270"/>
      <c r="T19" s="270"/>
      <c r="U19" s="270"/>
      <c r="V19" s="270"/>
      <c r="W19" s="270"/>
      <c r="X19" s="270"/>
      <c r="Y19" s="270"/>
      <c r="Z19" s="270"/>
      <c r="AA19" s="270"/>
      <c r="AB19" s="270"/>
      <c r="AC19" s="270"/>
      <c r="AD19" s="270"/>
    </row>
    <row r="20" spans="1:13" ht="15">
      <c r="A20" s="88"/>
      <c r="B20" s="241"/>
      <c r="C20" s="235" t="s">
        <v>217</v>
      </c>
      <c r="D20" s="191">
        <f>H6</f>
        <v>200</v>
      </c>
      <c r="E20" s="236" t="s">
        <v>215</v>
      </c>
      <c r="F20" s="242"/>
      <c r="G20" s="243"/>
      <c r="H20" s="244"/>
      <c r="I20" s="220"/>
      <c r="J20" s="222"/>
      <c r="K20" s="42"/>
      <c r="L20" s="220"/>
      <c r="M20" s="220"/>
    </row>
    <row r="21" spans="1:13" ht="12.75">
      <c r="A21" s="220"/>
      <c r="B21" s="241"/>
      <c r="C21" s="235" t="s">
        <v>218</v>
      </c>
      <c r="D21" s="191">
        <f>H5</f>
        <v>294</v>
      </c>
      <c r="E21" s="236" t="s">
        <v>215</v>
      </c>
      <c r="F21" s="158" t="s">
        <v>226</v>
      </c>
      <c r="G21" s="245">
        <f>D23*4320/G17^2*H10*H5/10/K6*SQRT(1+(G17*H8/10/4.4/H5/10)^2)*235/G18</f>
        <v>5.8667007118352466</v>
      </c>
      <c r="H21" s="105" t="str">
        <f>IF(G21&gt;0.6,"&gt;0.6","&lt;0.6")</f>
        <v>&gt;0.6</v>
      </c>
      <c r="I21" s="220"/>
      <c r="J21" s="91"/>
      <c r="K21" s="40"/>
      <c r="L21" s="220"/>
      <c r="M21" s="220"/>
    </row>
    <row r="22" spans="1:13" ht="12.75">
      <c r="A22" s="220"/>
      <c r="B22" s="241"/>
      <c r="C22" s="235" t="s">
        <v>219</v>
      </c>
      <c r="D22" s="99">
        <f>D18*D19/D20/D21</f>
        <v>0.5102040816326531</v>
      </c>
      <c r="E22" s="246"/>
      <c r="F22" s="158" t="s">
        <v>227</v>
      </c>
      <c r="G22" s="247">
        <f>IF(G21&gt;0.6,1.07-0.282/G21,G21)</f>
        <v>1.0219320971272483</v>
      </c>
      <c r="H22" s="105" t="str">
        <f>IF(G22&gt;1,"&gt;1","&lt;=1")</f>
        <v>&gt;1</v>
      </c>
      <c r="I22" s="220"/>
      <c r="J22" s="220"/>
      <c r="K22" s="220"/>
      <c r="L22" s="220"/>
      <c r="M22" s="220"/>
    </row>
    <row r="23" spans="1:13" ht="15.75" thickBot="1">
      <c r="A23" s="220"/>
      <c r="B23" s="248"/>
      <c r="C23" s="249" t="s">
        <v>220</v>
      </c>
      <c r="D23" s="121">
        <f>VLOOKUP(A14,S2:AC15,11,FALSE)</f>
        <v>1.4</v>
      </c>
      <c r="E23" s="250"/>
      <c r="F23" s="102" t="s">
        <v>225</v>
      </c>
      <c r="G23" s="104">
        <f>IF(G22&lt;=1,G22,1)</f>
        <v>1</v>
      </c>
      <c r="H23" s="103"/>
      <c r="I23" s="220"/>
      <c r="J23" s="220"/>
      <c r="K23" s="220"/>
      <c r="L23" s="220"/>
      <c r="M23" s="220"/>
    </row>
    <row r="24" spans="1:13" ht="13.5" thickBot="1">
      <c r="A24" s="220"/>
      <c r="F24" s="251"/>
      <c r="G24" s="251"/>
      <c r="H24" s="220"/>
      <c r="I24" s="220"/>
      <c r="J24" s="220"/>
      <c r="K24" s="220"/>
      <c r="L24" s="220"/>
      <c r="M24" s="220"/>
    </row>
    <row r="25" spans="1:13" ht="12.75">
      <c r="A25" s="220"/>
      <c r="B25" s="208" t="s">
        <v>296</v>
      </c>
      <c r="C25" s="147"/>
      <c r="D25" s="149"/>
      <c r="E25" s="164"/>
      <c r="F25" s="252"/>
      <c r="G25" s="253"/>
      <c r="H25" s="254"/>
      <c r="I25" s="220"/>
      <c r="J25" s="220"/>
      <c r="K25" s="220"/>
      <c r="L25" s="220"/>
      <c r="M25" s="220"/>
    </row>
    <row r="26" spans="1:13" ht="15">
      <c r="A26" s="220"/>
      <c r="B26" s="182"/>
      <c r="C26" s="108" t="s">
        <v>228</v>
      </c>
      <c r="D26" s="61">
        <v>120</v>
      </c>
      <c r="E26" s="120" t="s">
        <v>171</v>
      </c>
      <c r="F26" s="117" t="s">
        <v>207</v>
      </c>
      <c r="G26" s="58">
        <f>D26*10^6/D29/K6/1000+D27*10^6/K9/1000</f>
        <v>154.0436456996149</v>
      </c>
      <c r="H26" s="255" t="s">
        <v>8</v>
      </c>
      <c r="I26" s="220"/>
      <c r="J26" s="220">
        <f>IF(M14&gt;C5,"强度不够!","")</f>
      </c>
      <c r="K26" s="220"/>
      <c r="L26" s="220"/>
      <c r="M26" s="220"/>
    </row>
    <row r="27" spans="1:13" ht="15">
      <c r="A27" s="220"/>
      <c r="B27" s="187"/>
      <c r="C27" s="108" t="s">
        <v>229</v>
      </c>
      <c r="D27" s="61">
        <v>0</v>
      </c>
      <c r="E27" s="120" t="s">
        <v>171</v>
      </c>
      <c r="F27" s="122" t="str">
        <f>IF(G26&gt;C5,"&gt;","&lt;=")</f>
        <v>&lt;=</v>
      </c>
      <c r="G27" s="390" t="str">
        <f>"f="&amp;C5&amp;"N/mm^2"</f>
        <v>f=215N/mm^2</v>
      </c>
      <c r="H27" s="391"/>
      <c r="I27" s="220"/>
      <c r="J27" s="220"/>
      <c r="K27" s="220"/>
      <c r="L27" s="220"/>
      <c r="M27" s="220"/>
    </row>
    <row r="28" spans="1:13" ht="5.25" customHeight="1">
      <c r="A28" s="220"/>
      <c r="B28" s="187"/>
      <c r="C28" s="111"/>
      <c r="D28" s="112"/>
      <c r="E28" s="118"/>
      <c r="F28" s="113"/>
      <c r="G28" s="114"/>
      <c r="H28" s="256"/>
      <c r="I28" s="220"/>
      <c r="J28" s="220"/>
      <c r="K28" s="220"/>
      <c r="L28" s="220"/>
      <c r="M28" s="220"/>
    </row>
    <row r="29" spans="2:8" ht="15">
      <c r="B29" s="187"/>
      <c r="C29" s="109" t="s">
        <v>225</v>
      </c>
      <c r="D29" s="116">
        <f>G23</f>
        <v>1</v>
      </c>
      <c r="E29" s="119"/>
      <c r="F29" s="115"/>
      <c r="G29" s="115"/>
      <c r="H29" s="177"/>
    </row>
    <row r="30" spans="2:8" ht="15.75" thickBot="1">
      <c r="B30" s="188"/>
      <c r="C30" s="110" t="s">
        <v>230</v>
      </c>
      <c r="D30" s="92">
        <v>1</v>
      </c>
      <c r="E30" s="257"/>
      <c r="F30" s="185"/>
      <c r="G30" s="185"/>
      <c r="H30" s="186"/>
    </row>
    <row r="66" spans="2:8" ht="12.75">
      <c r="B66" s="258"/>
      <c r="C66" s="379" t="s">
        <v>286</v>
      </c>
      <c r="D66" s="379" t="s">
        <v>287</v>
      </c>
      <c r="E66" s="223" t="s">
        <v>191</v>
      </c>
      <c r="F66" s="259" t="s">
        <v>192</v>
      </c>
      <c r="G66" s="223" t="s">
        <v>193</v>
      </c>
      <c r="H66" s="260" t="s">
        <v>291</v>
      </c>
    </row>
    <row r="67" spans="1:8" ht="12.75">
      <c r="A67" s="141">
        <v>1</v>
      </c>
      <c r="B67" s="167" t="str">
        <f>C67&amp;"  "&amp;D67</f>
        <v>Q235  &lt;=16</v>
      </c>
      <c r="C67" s="261" t="s">
        <v>194</v>
      </c>
      <c r="D67" s="223" t="s">
        <v>195</v>
      </c>
      <c r="E67" s="223">
        <v>215</v>
      </c>
      <c r="F67" s="259">
        <v>125</v>
      </c>
      <c r="G67" s="223">
        <v>325</v>
      </c>
      <c r="H67" s="260">
        <v>235</v>
      </c>
    </row>
    <row r="68" spans="1:8" ht="12.75">
      <c r="A68" s="141">
        <v>2</v>
      </c>
      <c r="B68" s="167" t="str">
        <f>C67&amp;"  "&amp;D68</f>
        <v>Q235  &gt;16~40</v>
      </c>
      <c r="C68" s="262"/>
      <c r="D68" s="223" t="s">
        <v>196</v>
      </c>
      <c r="E68" s="223">
        <v>205</v>
      </c>
      <c r="F68" s="259">
        <v>120</v>
      </c>
      <c r="G68" s="223">
        <v>325</v>
      </c>
      <c r="H68" s="260">
        <v>235</v>
      </c>
    </row>
    <row r="69" spans="1:8" ht="12.75">
      <c r="A69" s="141">
        <v>3</v>
      </c>
      <c r="B69" s="167" t="str">
        <f>C67&amp;"  "&amp;D69</f>
        <v>Q235  &gt;40~60</v>
      </c>
      <c r="C69" s="262"/>
      <c r="D69" s="223" t="s">
        <v>197</v>
      </c>
      <c r="E69" s="223">
        <v>200</v>
      </c>
      <c r="F69" s="259">
        <v>115</v>
      </c>
      <c r="G69" s="223">
        <v>325</v>
      </c>
      <c r="H69" s="260">
        <v>235</v>
      </c>
    </row>
    <row r="70" spans="1:8" ht="12.75">
      <c r="A70" s="141">
        <v>4</v>
      </c>
      <c r="B70" s="167" t="str">
        <f>C67&amp;"  "&amp;D70</f>
        <v>Q235  &gt;60~100</v>
      </c>
      <c r="C70" s="263"/>
      <c r="D70" s="223" t="s">
        <v>198</v>
      </c>
      <c r="E70" s="223">
        <v>190</v>
      </c>
      <c r="F70" s="259">
        <v>110</v>
      </c>
      <c r="G70" s="223">
        <v>325</v>
      </c>
      <c r="H70" s="260">
        <v>235</v>
      </c>
    </row>
    <row r="71" spans="1:8" ht="12.75">
      <c r="A71" s="141">
        <v>5</v>
      </c>
      <c r="B71" s="199" t="str">
        <f>C68&amp;"  "&amp;D71</f>
        <v>  </v>
      </c>
      <c r="C71" s="264"/>
      <c r="D71" s="264"/>
      <c r="E71" s="264"/>
      <c r="F71" s="264"/>
      <c r="G71" s="223"/>
      <c r="H71" s="165"/>
    </row>
    <row r="72" spans="1:8" ht="12.75">
      <c r="A72" s="141">
        <v>6</v>
      </c>
      <c r="B72" s="167" t="str">
        <f>C72&amp;"  "&amp;D72</f>
        <v>Q345  &lt;=16</v>
      </c>
      <c r="C72" s="261" t="s">
        <v>199</v>
      </c>
      <c r="D72" s="223" t="s">
        <v>195</v>
      </c>
      <c r="E72" s="223">
        <v>310</v>
      </c>
      <c r="F72" s="259">
        <v>180</v>
      </c>
      <c r="G72" s="223">
        <v>400</v>
      </c>
      <c r="H72" s="260">
        <v>345</v>
      </c>
    </row>
    <row r="73" spans="1:8" ht="12.75">
      <c r="A73" s="141">
        <v>7</v>
      </c>
      <c r="B73" s="167" t="str">
        <f>C72&amp;"  "&amp;D73</f>
        <v>Q345  &gt;16~35</v>
      </c>
      <c r="C73" s="262"/>
      <c r="D73" s="223" t="s">
        <v>200</v>
      </c>
      <c r="E73" s="223">
        <v>295</v>
      </c>
      <c r="F73" s="259">
        <v>170</v>
      </c>
      <c r="G73" s="223">
        <v>400</v>
      </c>
      <c r="H73" s="260">
        <v>345</v>
      </c>
    </row>
    <row r="74" spans="1:8" ht="12.75">
      <c r="A74" s="141">
        <v>8</v>
      </c>
      <c r="B74" s="167" t="str">
        <f>C72&amp;"  "&amp;D74</f>
        <v>Q345  &gt;35~50</v>
      </c>
      <c r="C74" s="262"/>
      <c r="D74" s="223" t="s">
        <v>201</v>
      </c>
      <c r="E74" s="223">
        <v>265</v>
      </c>
      <c r="F74" s="259">
        <v>155</v>
      </c>
      <c r="G74" s="223">
        <v>400</v>
      </c>
      <c r="H74" s="260">
        <v>345</v>
      </c>
    </row>
    <row r="75" spans="1:8" ht="12.75">
      <c r="A75" s="141">
        <v>9</v>
      </c>
      <c r="B75" s="167" t="str">
        <f>C72&amp;"  "&amp;D75</f>
        <v>Q345  &gt;50~100</v>
      </c>
      <c r="C75" s="263"/>
      <c r="D75" s="223" t="s">
        <v>202</v>
      </c>
      <c r="E75" s="223">
        <v>250</v>
      </c>
      <c r="F75" s="259">
        <v>145</v>
      </c>
      <c r="G75" s="223">
        <v>400</v>
      </c>
      <c r="H75" s="260">
        <v>345</v>
      </c>
    </row>
    <row r="76" spans="1:8" ht="12.75">
      <c r="A76" s="141">
        <v>10</v>
      </c>
      <c r="B76" s="199" t="str">
        <f>C73&amp;"  "&amp;D76</f>
        <v>  </v>
      </c>
      <c r="C76" s="264"/>
      <c r="D76" s="264"/>
      <c r="E76" s="264"/>
      <c r="F76" s="264"/>
      <c r="G76" s="223"/>
      <c r="H76" s="165"/>
    </row>
    <row r="77" spans="1:8" ht="12.75">
      <c r="A77" s="141">
        <v>11</v>
      </c>
      <c r="B77" s="167" t="str">
        <f>C77&amp;"  "&amp;D77</f>
        <v>Q390  &lt;=16</v>
      </c>
      <c r="C77" s="261" t="s">
        <v>203</v>
      </c>
      <c r="D77" s="223" t="s">
        <v>195</v>
      </c>
      <c r="E77" s="223">
        <v>350</v>
      </c>
      <c r="F77" s="259">
        <v>205</v>
      </c>
      <c r="G77" s="223">
        <v>415</v>
      </c>
      <c r="H77" s="260">
        <v>390</v>
      </c>
    </row>
    <row r="78" spans="1:8" ht="12.75">
      <c r="A78" s="141">
        <v>12</v>
      </c>
      <c r="B78" s="167" t="str">
        <f>C77&amp;"  "&amp;D78</f>
        <v>Q390  &gt;16~35</v>
      </c>
      <c r="C78" s="262"/>
      <c r="D78" s="223" t="s">
        <v>200</v>
      </c>
      <c r="E78" s="223">
        <v>335</v>
      </c>
      <c r="F78" s="259">
        <v>190</v>
      </c>
      <c r="G78" s="223">
        <v>415</v>
      </c>
      <c r="H78" s="260">
        <v>390</v>
      </c>
    </row>
    <row r="79" spans="1:8" ht="12.75">
      <c r="A79" s="141">
        <v>13</v>
      </c>
      <c r="B79" s="167" t="str">
        <f>C77&amp;"  "&amp;D79</f>
        <v>Q390  &gt;35~50</v>
      </c>
      <c r="C79" s="262"/>
      <c r="D79" s="223" t="s">
        <v>201</v>
      </c>
      <c r="E79" s="223">
        <v>315</v>
      </c>
      <c r="F79" s="259">
        <v>180</v>
      </c>
      <c r="G79" s="223">
        <v>415</v>
      </c>
      <c r="H79" s="260">
        <v>390</v>
      </c>
    </row>
    <row r="80" spans="1:8" ht="12.75">
      <c r="A80" s="141">
        <v>14</v>
      </c>
      <c r="B80" s="167" t="str">
        <f>C77&amp;"  "&amp;D80</f>
        <v>Q390  &gt;50~100</v>
      </c>
      <c r="C80" s="263"/>
      <c r="D80" s="223" t="s">
        <v>202</v>
      </c>
      <c r="E80" s="223">
        <v>295</v>
      </c>
      <c r="F80" s="259">
        <v>170</v>
      </c>
      <c r="G80" s="223">
        <v>415</v>
      </c>
      <c r="H80" s="260">
        <v>390</v>
      </c>
    </row>
    <row r="81" spans="1:8" ht="12.75">
      <c r="A81" s="141">
        <v>15</v>
      </c>
      <c r="B81" s="199" t="str">
        <f>C78&amp;"  "&amp;D81</f>
        <v>  </v>
      </c>
      <c r="C81" s="264"/>
      <c r="D81" s="264"/>
      <c r="E81" s="264"/>
      <c r="F81" s="264"/>
      <c r="G81" s="223"/>
      <c r="H81" s="165"/>
    </row>
    <row r="82" spans="1:8" ht="12.75">
      <c r="A82" s="141">
        <v>16</v>
      </c>
      <c r="B82" s="167" t="str">
        <f>C82&amp;"  "&amp;D82</f>
        <v>Q345  &lt;=16</v>
      </c>
      <c r="C82" s="261" t="s">
        <v>199</v>
      </c>
      <c r="D82" s="223" t="s">
        <v>195</v>
      </c>
      <c r="E82" s="223">
        <v>380</v>
      </c>
      <c r="F82" s="259">
        <v>220</v>
      </c>
      <c r="G82" s="223">
        <v>440</v>
      </c>
      <c r="H82" s="260">
        <v>345</v>
      </c>
    </row>
    <row r="83" spans="1:8" ht="12.75">
      <c r="A83" s="141">
        <v>17</v>
      </c>
      <c r="B83" s="167" t="str">
        <f>C82&amp;"  "&amp;D83</f>
        <v>Q345  &gt;16~35</v>
      </c>
      <c r="C83" s="262"/>
      <c r="D83" s="223" t="s">
        <v>200</v>
      </c>
      <c r="E83" s="223">
        <v>360</v>
      </c>
      <c r="F83" s="259">
        <v>210</v>
      </c>
      <c r="G83" s="223">
        <v>440</v>
      </c>
      <c r="H83" s="260">
        <v>345</v>
      </c>
    </row>
    <row r="84" spans="1:8" ht="12.75">
      <c r="A84" s="141">
        <v>18</v>
      </c>
      <c r="B84" s="167" t="str">
        <f>C82&amp;"  "&amp;D84</f>
        <v>Q345  &gt;35~50</v>
      </c>
      <c r="C84" s="262"/>
      <c r="D84" s="223" t="s">
        <v>201</v>
      </c>
      <c r="E84" s="223">
        <v>340</v>
      </c>
      <c r="F84" s="259">
        <v>195</v>
      </c>
      <c r="G84" s="223">
        <v>440</v>
      </c>
      <c r="H84" s="260">
        <v>345</v>
      </c>
    </row>
    <row r="85" spans="1:8" ht="12.75">
      <c r="A85" s="141">
        <v>19</v>
      </c>
      <c r="B85" s="167" t="str">
        <f>C82&amp;"  "&amp;D85</f>
        <v>Q345  &gt;50~100</v>
      </c>
      <c r="C85" s="263"/>
      <c r="D85" s="223" t="s">
        <v>202</v>
      </c>
      <c r="E85" s="223">
        <v>325</v>
      </c>
      <c r="F85" s="259">
        <v>185</v>
      </c>
      <c r="G85" s="223">
        <v>440</v>
      </c>
      <c r="H85" s="260">
        <v>345</v>
      </c>
    </row>
    <row r="87" spans="1:10" ht="12.75">
      <c r="A87" s="180"/>
      <c r="B87" s="97"/>
      <c r="C87" s="180"/>
      <c r="D87" s="180"/>
      <c r="E87" s="180"/>
      <c r="F87" s="265"/>
      <c r="G87" s="265"/>
      <c r="H87" s="266"/>
      <c r="I87" s="180"/>
      <c r="J87" s="180"/>
    </row>
    <row r="88" spans="1:10" ht="12.75">
      <c r="A88" s="180"/>
      <c r="B88" s="97"/>
      <c r="C88" s="180"/>
      <c r="D88" s="180"/>
      <c r="E88" s="180"/>
      <c r="F88" s="176"/>
      <c r="G88" s="228"/>
      <c r="H88" s="180"/>
      <c r="I88" s="180"/>
      <c r="J88" s="180"/>
    </row>
    <row r="89" spans="1:10" ht="12.75">
      <c r="A89" s="180"/>
      <c r="B89" s="97"/>
      <c r="C89" s="180"/>
      <c r="D89" s="180"/>
      <c r="E89" s="180"/>
      <c r="F89" s="176"/>
      <c r="G89" s="228"/>
      <c r="H89" s="180"/>
      <c r="I89" s="180"/>
      <c r="J89" s="180"/>
    </row>
    <row r="90" spans="1:10" ht="12.75">
      <c r="A90" s="180"/>
      <c r="B90" s="97"/>
      <c r="C90" s="180"/>
      <c r="D90" s="180"/>
      <c r="E90" s="180"/>
      <c r="F90" s="176"/>
      <c r="G90" s="180"/>
      <c r="H90" s="180"/>
      <c r="I90" s="180"/>
      <c r="J90" s="180"/>
    </row>
    <row r="91" spans="1:10" ht="12.75">
      <c r="A91" s="180"/>
      <c r="B91" s="97"/>
      <c r="C91" s="180"/>
      <c r="D91" s="180"/>
      <c r="E91" s="180"/>
      <c r="F91" s="176"/>
      <c r="G91" s="266"/>
      <c r="H91" s="180"/>
      <c r="I91" s="180"/>
      <c r="J91" s="180"/>
    </row>
    <row r="92" spans="1:10" ht="12.75">
      <c r="A92" s="180"/>
      <c r="B92" s="97"/>
      <c r="C92" s="180"/>
      <c r="D92" s="180"/>
      <c r="E92" s="180"/>
      <c r="F92" s="176"/>
      <c r="G92" s="266"/>
      <c r="H92" s="180"/>
      <c r="I92" s="180"/>
      <c r="J92" s="180"/>
    </row>
    <row r="93" spans="1:10" ht="12.75">
      <c r="A93" s="180"/>
      <c r="B93" s="97"/>
      <c r="C93" s="180"/>
      <c r="D93" s="180"/>
      <c r="E93" s="180"/>
      <c r="F93" s="176"/>
      <c r="G93" s="180"/>
      <c r="H93" s="180"/>
      <c r="I93" s="180"/>
      <c r="J93" s="180"/>
    </row>
    <row r="94" spans="1:10" ht="12.75">
      <c r="A94" s="180"/>
      <c r="B94" s="97"/>
      <c r="C94" s="180"/>
      <c r="D94" s="180"/>
      <c r="E94" s="180"/>
      <c r="F94" s="265"/>
      <c r="G94" s="265"/>
      <c r="H94" s="265"/>
      <c r="I94" s="180"/>
      <c r="J94" s="180"/>
    </row>
    <row r="95" spans="1:10" ht="12.75">
      <c r="A95" s="180"/>
      <c r="B95" s="97"/>
      <c r="C95" s="180"/>
      <c r="D95" s="180"/>
      <c r="E95" s="180"/>
      <c r="F95" s="176"/>
      <c r="G95" s="180"/>
      <c r="H95" s="180"/>
      <c r="I95" s="180"/>
      <c r="J95" s="180"/>
    </row>
    <row r="96" spans="1:10" ht="12.75">
      <c r="A96" s="180"/>
      <c r="B96" s="97"/>
      <c r="C96" s="180"/>
      <c r="D96" s="265"/>
      <c r="E96" s="265"/>
      <c r="F96" s="265"/>
      <c r="G96" s="180"/>
      <c r="H96" s="180"/>
      <c r="I96" s="180"/>
      <c r="J96" s="180"/>
    </row>
    <row r="97" spans="1:10" ht="12.75">
      <c r="A97" s="180"/>
      <c r="B97" s="97"/>
      <c r="C97" s="180"/>
      <c r="D97" s="180"/>
      <c r="E97" s="180"/>
      <c r="F97" s="176"/>
      <c r="G97" s="180"/>
      <c r="H97" s="180"/>
      <c r="I97" s="180"/>
      <c r="J97" s="180"/>
    </row>
    <row r="98" spans="1:10" ht="12.75">
      <c r="A98" s="180"/>
      <c r="B98" s="97"/>
      <c r="C98" s="180"/>
      <c r="D98" s="180"/>
      <c r="E98" s="180"/>
      <c r="F98" s="176"/>
      <c r="G98" s="180"/>
      <c r="H98" s="180"/>
      <c r="I98" s="180"/>
      <c r="J98" s="180"/>
    </row>
    <row r="99" spans="1:10" ht="12.75">
      <c r="A99" s="180"/>
      <c r="B99" s="97"/>
      <c r="C99" s="180"/>
      <c r="D99" s="180"/>
      <c r="E99" s="180"/>
      <c r="F99" s="176"/>
      <c r="G99" s="180"/>
      <c r="H99" s="180"/>
      <c r="I99" s="180"/>
      <c r="J99" s="180"/>
    </row>
    <row r="100" spans="1:10" ht="12.75">
      <c r="A100" s="180"/>
      <c r="B100" s="97"/>
      <c r="C100" s="180"/>
      <c r="D100" s="180"/>
      <c r="E100" s="180"/>
      <c r="F100" s="176"/>
      <c r="G100" s="180"/>
      <c r="H100" s="180"/>
      <c r="I100" s="180"/>
      <c r="J100" s="180"/>
    </row>
    <row r="101" spans="1:10" ht="12.75">
      <c r="A101" s="180"/>
      <c r="B101" s="97"/>
      <c r="C101" s="180"/>
      <c r="D101" s="180"/>
      <c r="E101" s="180"/>
      <c r="F101" s="176"/>
      <c r="G101" s="180"/>
      <c r="H101" s="180"/>
      <c r="I101" s="180"/>
      <c r="J101" s="180"/>
    </row>
    <row r="102" spans="1:10" ht="12.75">
      <c r="A102" s="180"/>
      <c r="B102" s="97"/>
      <c r="C102" s="180"/>
      <c r="D102" s="180"/>
      <c r="E102" s="176"/>
      <c r="F102" s="180"/>
      <c r="G102" s="180"/>
      <c r="H102" s="180"/>
      <c r="I102" s="180"/>
      <c r="J102" s="180"/>
    </row>
    <row r="103" spans="1:10" ht="12.75">
      <c r="A103" s="180"/>
      <c r="B103" s="180"/>
      <c r="C103" s="180"/>
      <c r="D103" s="180"/>
      <c r="E103" s="176"/>
      <c r="F103" s="180"/>
      <c r="G103" s="180"/>
      <c r="H103" s="180"/>
      <c r="I103" s="180"/>
      <c r="J103" s="180"/>
    </row>
    <row r="104" spans="1:10" ht="12.75">
      <c r="A104" s="180"/>
      <c r="B104" s="180"/>
      <c r="C104" s="180"/>
      <c r="D104" s="180"/>
      <c r="E104" s="176"/>
      <c r="F104" s="180"/>
      <c r="G104" s="180"/>
      <c r="H104" s="180"/>
      <c r="I104" s="180"/>
      <c r="J104" s="180"/>
    </row>
  </sheetData>
  <sheetProtection password="F3E5" sheet="1" objects="1" scenarios="1" selectLockedCells="1"/>
  <mergeCells count="3">
    <mergeCell ref="B18:C18"/>
    <mergeCell ref="G27:H27"/>
    <mergeCell ref="A2:B2"/>
  </mergeCells>
  <conditionalFormatting sqref="G14 K20 G26">
    <cfRule type="cellIs" priority="1" dxfId="0" operator="greaterThan" stopIfTrue="1">
      <formula>$C$5</formula>
    </cfRule>
  </conditionalFormatting>
  <hyperlinks>
    <hyperlink ref="A2" r:id="rId1" display="www.machinemfg.com"/>
  </hyperlink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4"/>
  <sheetViews>
    <sheetView showGridLines="0" zoomScalePageLayoutView="0" workbookViewId="0" topLeftCell="A1">
      <selection activeCell="A2" sqref="A2"/>
    </sheetView>
  </sheetViews>
  <sheetFormatPr defaultColWidth="9.140625" defaultRowHeight="12.75"/>
  <cols>
    <col min="1" max="1" width="3.7109375" style="141" bestFit="1" customWidth="1"/>
    <col min="2" max="2" width="45.140625" style="141" customWidth="1"/>
    <col min="3" max="3" width="9.421875" style="141" bestFit="1" customWidth="1"/>
    <col min="4" max="4" width="9.00390625" style="141" bestFit="1" customWidth="1"/>
    <col min="5" max="5" width="4.7109375" style="141" bestFit="1" customWidth="1"/>
    <col min="6" max="6" width="22.7109375" style="141" bestFit="1" customWidth="1"/>
    <col min="7" max="7" width="6.7109375" style="141" bestFit="1" customWidth="1"/>
    <col min="8" max="8" width="6.140625" style="141" bestFit="1" customWidth="1"/>
    <col min="9" max="9" width="32.57421875" style="141" bestFit="1" customWidth="1"/>
    <col min="10" max="10" width="7.7109375" style="141" bestFit="1" customWidth="1"/>
    <col min="11" max="11" width="6.421875" style="141" bestFit="1" customWidth="1"/>
    <col min="12" max="16384" width="8.8515625" style="141" customWidth="1"/>
  </cols>
  <sheetData>
    <row r="1" spans="1:2" ht="13.5" thickBot="1">
      <c r="A1" s="387" t="s">
        <v>366</v>
      </c>
      <c r="B1" s="387"/>
    </row>
    <row r="2" spans="1:11" ht="12.75">
      <c r="A2" s="59">
        <v>1</v>
      </c>
      <c r="B2" s="143" t="s">
        <v>261</v>
      </c>
      <c r="C2" s="144"/>
      <c r="D2" s="145"/>
      <c r="E2" s="33">
        <v>32</v>
      </c>
      <c r="F2" s="143" t="s">
        <v>266</v>
      </c>
      <c r="G2" s="144"/>
      <c r="H2" s="147"/>
      <c r="I2" s="148"/>
      <c r="J2" s="149"/>
      <c r="K2" s="150"/>
    </row>
    <row r="3" spans="2:11" ht="12.75">
      <c r="B3" s="151" t="s">
        <v>262</v>
      </c>
      <c r="C3" s="152"/>
      <c r="D3" s="153"/>
      <c r="F3" s="154" t="s">
        <v>267</v>
      </c>
      <c r="G3" s="155"/>
      <c r="H3" s="152"/>
      <c r="I3" s="156" t="s">
        <v>274</v>
      </c>
      <c r="J3" s="4">
        <f>G9/10000*7850</f>
        <v>136.98250000000002</v>
      </c>
      <c r="K3" s="157" t="s">
        <v>214</v>
      </c>
    </row>
    <row r="4" spans="2:11" ht="12.75">
      <c r="B4" s="156" t="s">
        <v>263</v>
      </c>
      <c r="C4" s="55">
        <f>VLOOKUP(A2,A78:H96,5,FALSE)</f>
        <v>215</v>
      </c>
      <c r="D4" s="157" t="s">
        <v>19</v>
      </c>
      <c r="F4" s="156" t="s">
        <v>268</v>
      </c>
      <c r="G4" s="55">
        <f>VLOOKUP(E2,H!A1:P67,4,FALSE)</f>
        <v>582</v>
      </c>
      <c r="H4" s="155" t="s">
        <v>4</v>
      </c>
      <c r="I4" s="158" t="s">
        <v>275</v>
      </c>
      <c r="J4" s="55">
        <f>VLOOKUP(E2,H!A1:P67,11,FALSE)</f>
        <v>103000</v>
      </c>
      <c r="K4" s="157" t="s">
        <v>92</v>
      </c>
    </row>
    <row r="5" spans="2:11" ht="12.75">
      <c r="B5" s="156" t="s">
        <v>264</v>
      </c>
      <c r="C5" s="55">
        <f>VLOOKUP(A2,A78:H96,6,FALSE)</f>
        <v>125</v>
      </c>
      <c r="D5" s="157" t="s">
        <v>19</v>
      </c>
      <c r="F5" s="156" t="s">
        <v>269</v>
      </c>
      <c r="G5" s="55">
        <f>VLOOKUP(E2,H!A1:P67,5,FALSE)</f>
        <v>300</v>
      </c>
      <c r="H5" s="155" t="s">
        <v>4</v>
      </c>
      <c r="I5" s="158" t="s">
        <v>276</v>
      </c>
      <c r="J5" s="55">
        <f>VLOOKUP(E2,H!A1:P67,12,FALSE)</f>
        <v>3530</v>
      </c>
      <c r="K5" s="157" t="s">
        <v>18</v>
      </c>
    </row>
    <row r="6" spans="2:11" ht="13.5" thickBot="1">
      <c r="B6" s="159" t="s">
        <v>265</v>
      </c>
      <c r="C6" s="68">
        <f>VLOOKUP(A2,A78:H96,7,FALSE)</f>
        <v>325</v>
      </c>
      <c r="D6" s="160" t="s">
        <v>19</v>
      </c>
      <c r="F6" s="156" t="s">
        <v>270</v>
      </c>
      <c r="G6" s="55">
        <f>VLOOKUP(E2,H!A1:P67,6,FALSE)</f>
        <v>12</v>
      </c>
      <c r="H6" s="155" t="s">
        <v>4</v>
      </c>
      <c r="I6" s="158" t="s">
        <v>277</v>
      </c>
      <c r="J6" s="55">
        <f>VLOOKUP(E2,H!A1:P67,13,FALSE)</f>
        <v>24.3</v>
      </c>
      <c r="K6" s="157" t="s">
        <v>177</v>
      </c>
    </row>
    <row r="7" spans="6:11" ht="12.75">
      <c r="F7" s="156" t="s">
        <v>271</v>
      </c>
      <c r="G7" s="55">
        <f>VLOOKUP(E2,H!A1:P67,7,FALSE)</f>
        <v>17</v>
      </c>
      <c r="H7" s="155" t="s">
        <v>4</v>
      </c>
      <c r="I7" s="158" t="s">
        <v>278</v>
      </c>
      <c r="J7" s="55">
        <f>VLOOKUP(E2,H!A1:P67,14,FALSE)</f>
        <v>7670</v>
      </c>
      <c r="K7" s="157" t="s">
        <v>92</v>
      </c>
    </row>
    <row r="8" spans="6:11" ht="12.75">
      <c r="F8" s="156" t="s">
        <v>272</v>
      </c>
      <c r="G8" s="55">
        <f>VLOOKUP(E2,H!A1:P67,8,FALSE)</f>
        <v>28</v>
      </c>
      <c r="H8" s="155" t="s">
        <v>4</v>
      </c>
      <c r="I8" s="158" t="s">
        <v>279</v>
      </c>
      <c r="J8" s="55">
        <f>VLOOKUP(E2,H!A1:P67,15,FALSE)</f>
        <v>511</v>
      </c>
      <c r="K8" s="157" t="s">
        <v>18</v>
      </c>
    </row>
    <row r="9" spans="6:11" ht="13.5" thickBot="1">
      <c r="F9" s="159" t="s">
        <v>273</v>
      </c>
      <c r="G9" s="68">
        <f>VLOOKUP(E2,H!A1:P67,9,FALSE)</f>
        <v>174.5</v>
      </c>
      <c r="H9" s="161" t="s">
        <v>176</v>
      </c>
      <c r="I9" s="162" t="s">
        <v>280</v>
      </c>
      <c r="J9" s="68">
        <f>VLOOKUP(E2,H!A1:P67,16,FALSE)</f>
        <v>6.63</v>
      </c>
      <c r="K9" s="160" t="s">
        <v>177</v>
      </c>
    </row>
    <row r="10" ht="13.5" thickBot="1"/>
    <row r="11" spans="1:8" ht="12.75">
      <c r="A11" s="394" t="s">
        <v>310</v>
      </c>
      <c r="B11" s="132" t="s">
        <v>307</v>
      </c>
      <c r="C11" s="274"/>
      <c r="D11" s="149"/>
      <c r="E11" s="149"/>
      <c r="F11" s="149"/>
      <c r="G11" s="149"/>
      <c r="H11" s="150"/>
    </row>
    <row r="12" spans="1:8" ht="15">
      <c r="A12" s="395"/>
      <c r="B12" s="129" t="s">
        <v>144</v>
      </c>
      <c r="C12" s="61">
        <v>250</v>
      </c>
      <c r="D12" s="165" t="s">
        <v>152</v>
      </c>
      <c r="E12" s="57" t="s">
        <v>207</v>
      </c>
      <c r="F12" s="58">
        <f>C12*1000/C13</f>
        <v>14.326647564469914</v>
      </c>
      <c r="G12" s="165" t="s">
        <v>19</v>
      </c>
      <c r="H12" s="157"/>
    </row>
    <row r="13" spans="1:8" ht="13.5" thickBot="1">
      <c r="A13" s="395"/>
      <c r="B13" s="130" t="s">
        <v>126</v>
      </c>
      <c r="C13" s="68">
        <f>G9*100</f>
        <v>17450</v>
      </c>
      <c r="D13" s="194" t="s">
        <v>232</v>
      </c>
      <c r="E13" s="128" t="str">
        <f>IF(F12&lt;=C4,"&lt;=","&gt;")</f>
        <v>&lt;=</v>
      </c>
      <c r="F13" s="275" t="str">
        <f>"f="&amp;C4&amp;"N/mm^2"</f>
        <v>f=215N/mm^2</v>
      </c>
      <c r="G13" s="275"/>
      <c r="H13" s="173"/>
    </row>
    <row r="14" spans="1:8" ht="13.5" thickBot="1">
      <c r="A14" s="395"/>
      <c r="B14" s="180"/>
      <c r="C14" s="180"/>
      <c r="D14" s="180"/>
      <c r="E14" s="180"/>
      <c r="F14" s="180"/>
      <c r="G14" s="180"/>
      <c r="H14" s="181"/>
    </row>
    <row r="15" spans="1:8" ht="12.75">
      <c r="A15" s="395"/>
      <c r="B15" s="392" t="s">
        <v>308</v>
      </c>
      <c r="C15" s="393"/>
      <c r="D15" s="147"/>
      <c r="E15" s="149"/>
      <c r="F15" s="149"/>
      <c r="G15" s="149"/>
      <c r="H15" s="150"/>
    </row>
    <row r="16" spans="1:8" ht="15">
      <c r="A16" s="395"/>
      <c r="B16" s="129" t="s">
        <v>144</v>
      </c>
      <c r="C16" s="61">
        <v>250</v>
      </c>
      <c r="D16" s="165" t="s">
        <v>152</v>
      </c>
      <c r="E16" s="57" t="s">
        <v>207</v>
      </c>
      <c r="F16" s="58">
        <f>(1-0.5*C18/C19)*C16*1000/C17</f>
        <v>8.595988538681949</v>
      </c>
      <c r="G16" s="165" t="s">
        <v>19</v>
      </c>
      <c r="H16" s="157"/>
    </row>
    <row r="17" spans="1:8" ht="15">
      <c r="A17" s="395"/>
      <c r="B17" s="129" t="s">
        <v>234</v>
      </c>
      <c r="C17" s="61">
        <f>G9*100</f>
        <v>17450</v>
      </c>
      <c r="D17" s="165" t="s">
        <v>232</v>
      </c>
      <c r="E17" s="73" t="str">
        <f>IF(F16&lt;=C4,"&lt;=","&gt;")</f>
        <v>&lt;=</v>
      </c>
      <c r="F17" s="152" t="str">
        <f>"f="&amp;C4&amp;"N/mm^2"</f>
        <v>f=215N/mm^2</v>
      </c>
      <c r="G17" s="152"/>
      <c r="H17" s="169"/>
    </row>
    <row r="18" spans="1:8" ht="15">
      <c r="A18" s="395"/>
      <c r="B18" s="129" t="s">
        <v>233</v>
      </c>
      <c r="C18" s="61">
        <v>8</v>
      </c>
      <c r="D18" s="165"/>
      <c r="E18" s="276"/>
      <c r="F18" s="175"/>
      <c r="G18" s="175"/>
      <c r="H18" s="177"/>
    </row>
    <row r="19" spans="1:8" ht="15.75" thickBot="1">
      <c r="A19" s="396"/>
      <c r="B19" s="131" t="s">
        <v>120</v>
      </c>
      <c r="C19" s="92">
        <v>10</v>
      </c>
      <c r="D19" s="194"/>
      <c r="E19" s="183"/>
      <c r="F19" s="185"/>
      <c r="G19" s="185"/>
      <c r="H19" s="186"/>
    </row>
    <row r="20" ht="13.5" thickBot="1"/>
    <row r="21" spans="1:8" ht="12.75">
      <c r="A21" s="394" t="s">
        <v>311</v>
      </c>
      <c r="B21" s="139" t="s">
        <v>309</v>
      </c>
      <c r="C21" s="277"/>
      <c r="D21" s="278"/>
      <c r="E21" s="149"/>
      <c r="F21" s="149"/>
      <c r="G21" s="149"/>
      <c r="H21" s="150"/>
    </row>
    <row r="22" spans="1:8" ht="15">
      <c r="A22" s="395"/>
      <c r="B22" s="125" t="s">
        <v>144</v>
      </c>
      <c r="C22" s="61">
        <v>250</v>
      </c>
      <c r="D22" s="165" t="s">
        <v>152</v>
      </c>
      <c r="E22" s="57" t="s">
        <v>207</v>
      </c>
      <c r="F22" s="58">
        <f>C22*1000/C24/C23</f>
        <v>349.4304284017052</v>
      </c>
      <c r="G22" s="165" t="s">
        <v>19</v>
      </c>
      <c r="H22" s="157"/>
    </row>
    <row r="23" spans="1:8" ht="15">
      <c r="A23" s="395"/>
      <c r="B23" s="138" t="s">
        <v>260</v>
      </c>
      <c r="C23" s="61">
        <v>0.041</v>
      </c>
      <c r="D23" s="165"/>
      <c r="E23" s="73" t="str">
        <f>IF(F22&lt;=C4,"&lt;=","&gt;")</f>
        <v>&gt;</v>
      </c>
      <c r="F23" s="152" t="str">
        <f>"f="&amp;C10&amp;"N/mm^2"</f>
        <v>f=N/mm^2</v>
      </c>
      <c r="G23" s="152"/>
      <c r="H23" s="169"/>
    </row>
    <row r="24" spans="1:8" ht="13.5" thickBot="1">
      <c r="A24" s="396"/>
      <c r="B24" s="126" t="s">
        <v>126</v>
      </c>
      <c r="C24" s="68">
        <f>G9*100</f>
        <v>17450</v>
      </c>
      <c r="D24" s="194" t="s">
        <v>232</v>
      </c>
      <c r="E24" s="194"/>
      <c r="F24" s="194"/>
      <c r="G24" s="194"/>
      <c r="H24" s="160"/>
    </row>
    <row r="26" ht="12.75">
      <c r="G26" s="62"/>
    </row>
    <row r="77" spans="2:8" ht="12.75">
      <c r="B77" s="258"/>
      <c r="C77" s="379" t="s">
        <v>286</v>
      </c>
      <c r="D77" s="379" t="s">
        <v>287</v>
      </c>
      <c r="E77" s="223" t="s">
        <v>191</v>
      </c>
      <c r="F77" s="259" t="s">
        <v>192</v>
      </c>
      <c r="G77" s="223" t="s">
        <v>193</v>
      </c>
      <c r="H77" s="260" t="s">
        <v>291</v>
      </c>
    </row>
    <row r="78" spans="1:8" ht="12.75">
      <c r="A78" s="141">
        <v>1</v>
      </c>
      <c r="B78" s="167" t="str">
        <f>C78&amp;"  "&amp;D78</f>
        <v>Q235  &lt;=16</v>
      </c>
      <c r="C78" s="261" t="s">
        <v>194</v>
      </c>
      <c r="D78" s="223" t="s">
        <v>195</v>
      </c>
      <c r="E78" s="223">
        <v>215</v>
      </c>
      <c r="F78" s="259">
        <v>125</v>
      </c>
      <c r="G78" s="223">
        <v>325</v>
      </c>
      <c r="H78" s="260">
        <v>235</v>
      </c>
    </row>
    <row r="79" spans="1:8" ht="12.75">
      <c r="A79" s="141">
        <v>2</v>
      </c>
      <c r="B79" s="167" t="str">
        <f>C78&amp;"  "&amp;D79</f>
        <v>Q235  &gt;16~40</v>
      </c>
      <c r="C79" s="262"/>
      <c r="D79" s="223" t="s">
        <v>196</v>
      </c>
      <c r="E79" s="223">
        <v>205</v>
      </c>
      <c r="F79" s="259">
        <v>120</v>
      </c>
      <c r="G79" s="223">
        <v>325</v>
      </c>
      <c r="H79" s="260">
        <v>235</v>
      </c>
    </row>
    <row r="80" spans="1:8" ht="12.75">
      <c r="A80" s="141">
        <v>3</v>
      </c>
      <c r="B80" s="167" t="str">
        <f>C78&amp;"  "&amp;D80</f>
        <v>Q235  &gt;40~60</v>
      </c>
      <c r="C80" s="262"/>
      <c r="D80" s="223" t="s">
        <v>197</v>
      </c>
      <c r="E80" s="223">
        <v>200</v>
      </c>
      <c r="F80" s="259">
        <v>115</v>
      </c>
      <c r="G80" s="223">
        <v>325</v>
      </c>
      <c r="H80" s="260">
        <v>235</v>
      </c>
    </row>
    <row r="81" spans="1:8" ht="12.75">
      <c r="A81" s="141">
        <v>4</v>
      </c>
      <c r="B81" s="167" t="str">
        <f>C78&amp;"  "&amp;D81</f>
        <v>Q235  &gt;60~100</v>
      </c>
      <c r="C81" s="263"/>
      <c r="D81" s="223" t="s">
        <v>198</v>
      </c>
      <c r="E81" s="223">
        <v>190</v>
      </c>
      <c r="F81" s="259">
        <v>110</v>
      </c>
      <c r="G81" s="223">
        <v>325</v>
      </c>
      <c r="H81" s="260">
        <v>235</v>
      </c>
    </row>
    <row r="82" spans="1:8" ht="12.75">
      <c r="A82" s="141">
        <v>5</v>
      </c>
      <c r="B82" s="199" t="str">
        <f>C79&amp;"  "&amp;D82</f>
        <v>  </v>
      </c>
      <c r="C82" s="264"/>
      <c r="D82" s="264"/>
      <c r="E82" s="264"/>
      <c r="F82" s="264"/>
      <c r="G82" s="223"/>
      <c r="H82" s="165"/>
    </row>
    <row r="83" spans="1:8" ht="12.75">
      <c r="A83" s="141">
        <v>6</v>
      </c>
      <c r="B83" s="167" t="str">
        <f>C83&amp;"  "&amp;D83</f>
        <v>Q345  &lt;=16</v>
      </c>
      <c r="C83" s="261" t="s">
        <v>199</v>
      </c>
      <c r="D83" s="223" t="s">
        <v>195</v>
      </c>
      <c r="E83" s="223">
        <v>310</v>
      </c>
      <c r="F83" s="259">
        <v>180</v>
      </c>
      <c r="G83" s="223">
        <v>400</v>
      </c>
      <c r="H83" s="260">
        <v>345</v>
      </c>
    </row>
    <row r="84" spans="1:8" ht="12.75">
      <c r="A84" s="141">
        <v>7</v>
      </c>
      <c r="B84" s="167" t="str">
        <f>C83&amp;"  "&amp;D84</f>
        <v>Q345  &gt;16~35</v>
      </c>
      <c r="C84" s="262"/>
      <c r="D84" s="223" t="s">
        <v>200</v>
      </c>
      <c r="E84" s="223">
        <v>295</v>
      </c>
      <c r="F84" s="259">
        <v>170</v>
      </c>
      <c r="G84" s="223">
        <v>400</v>
      </c>
      <c r="H84" s="260">
        <v>345</v>
      </c>
    </row>
    <row r="85" spans="1:8" ht="12.75">
      <c r="A85" s="141">
        <v>8</v>
      </c>
      <c r="B85" s="167" t="str">
        <f>C83&amp;"  "&amp;D85</f>
        <v>Q345  &gt;35~50</v>
      </c>
      <c r="C85" s="262"/>
      <c r="D85" s="223" t="s">
        <v>201</v>
      </c>
      <c r="E85" s="223">
        <v>265</v>
      </c>
      <c r="F85" s="259">
        <v>155</v>
      </c>
      <c r="G85" s="223">
        <v>400</v>
      </c>
      <c r="H85" s="260">
        <v>345</v>
      </c>
    </row>
    <row r="86" spans="1:8" ht="12.75">
      <c r="A86" s="141">
        <v>9</v>
      </c>
      <c r="B86" s="167" t="str">
        <f>C83&amp;"  "&amp;D86</f>
        <v>Q345  &gt;50~100</v>
      </c>
      <c r="C86" s="263"/>
      <c r="D86" s="223" t="s">
        <v>202</v>
      </c>
      <c r="E86" s="223">
        <v>250</v>
      </c>
      <c r="F86" s="259">
        <v>145</v>
      </c>
      <c r="G86" s="223">
        <v>400</v>
      </c>
      <c r="H86" s="260">
        <v>345</v>
      </c>
    </row>
    <row r="87" spans="1:8" ht="12.75">
      <c r="A87" s="141">
        <v>10</v>
      </c>
      <c r="B87" s="199" t="str">
        <f>C84&amp;"  "&amp;D87</f>
        <v>  </v>
      </c>
      <c r="C87" s="264"/>
      <c r="D87" s="264"/>
      <c r="E87" s="264"/>
      <c r="F87" s="264"/>
      <c r="G87" s="223"/>
      <c r="H87" s="165"/>
    </row>
    <row r="88" spans="1:8" ht="12.75">
      <c r="A88" s="141">
        <v>11</v>
      </c>
      <c r="B88" s="167" t="str">
        <f>C88&amp;"  "&amp;D88</f>
        <v>Q390  &lt;=16</v>
      </c>
      <c r="C88" s="261" t="s">
        <v>203</v>
      </c>
      <c r="D88" s="223" t="s">
        <v>195</v>
      </c>
      <c r="E88" s="223">
        <v>350</v>
      </c>
      <c r="F88" s="259">
        <v>205</v>
      </c>
      <c r="G88" s="223">
        <v>415</v>
      </c>
      <c r="H88" s="260">
        <v>390</v>
      </c>
    </row>
    <row r="89" spans="1:8" ht="12.75">
      <c r="A89" s="141">
        <v>12</v>
      </c>
      <c r="B89" s="167" t="str">
        <f>C88&amp;"  "&amp;D89</f>
        <v>Q390  &gt;16~35</v>
      </c>
      <c r="C89" s="262"/>
      <c r="D89" s="223" t="s">
        <v>200</v>
      </c>
      <c r="E89" s="223">
        <v>335</v>
      </c>
      <c r="F89" s="259">
        <v>190</v>
      </c>
      <c r="G89" s="223">
        <v>415</v>
      </c>
      <c r="H89" s="260">
        <v>390</v>
      </c>
    </row>
    <row r="90" spans="1:8" ht="12.75">
      <c r="A90" s="141">
        <v>13</v>
      </c>
      <c r="B90" s="167" t="str">
        <f>C88&amp;"  "&amp;D90</f>
        <v>Q390  &gt;35~50</v>
      </c>
      <c r="C90" s="262"/>
      <c r="D90" s="223" t="s">
        <v>201</v>
      </c>
      <c r="E90" s="223">
        <v>315</v>
      </c>
      <c r="F90" s="259">
        <v>180</v>
      </c>
      <c r="G90" s="223">
        <v>415</v>
      </c>
      <c r="H90" s="260">
        <v>390</v>
      </c>
    </row>
    <row r="91" spans="1:8" ht="12.75">
      <c r="A91" s="141">
        <v>14</v>
      </c>
      <c r="B91" s="167" t="str">
        <f>C88&amp;"  "&amp;D91</f>
        <v>Q390  &gt;50~100</v>
      </c>
      <c r="C91" s="263"/>
      <c r="D91" s="223" t="s">
        <v>202</v>
      </c>
      <c r="E91" s="223">
        <v>295</v>
      </c>
      <c r="F91" s="259">
        <v>170</v>
      </c>
      <c r="G91" s="223">
        <v>415</v>
      </c>
      <c r="H91" s="260">
        <v>390</v>
      </c>
    </row>
    <row r="92" spans="1:8" ht="12.75">
      <c r="A92" s="141">
        <v>15</v>
      </c>
      <c r="B92" s="199" t="str">
        <f>C89&amp;"  "&amp;D92</f>
        <v>  </v>
      </c>
      <c r="C92" s="264"/>
      <c r="D92" s="264"/>
      <c r="E92" s="264"/>
      <c r="F92" s="264"/>
      <c r="G92" s="223"/>
      <c r="H92" s="165"/>
    </row>
    <row r="93" spans="1:8" ht="12.75">
      <c r="A93" s="141">
        <v>16</v>
      </c>
      <c r="B93" s="167" t="str">
        <f>C93&amp;"  "&amp;D93</f>
        <v>Q345  &lt;=16</v>
      </c>
      <c r="C93" s="261" t="s">
        <v>199</v>
      </c>
      <c r="D93" s="223" t="s">
        <v>195</v>
      </c>
      <c r="E93" s="223">
        <v>380</v>
      </c>
      <c r="F93" s="259">
        <v>220</v>
      </c>
      <c r="G93" s="223">
        <v>440</v>
      </c>
      <c r="H93" s="260">
        <v>345</v>
      </c>
    </row>
    <row r="94" spans="1:8" ht="12.75">
      <c r="A94" s="141">
        <v>17</v>
      </c>
      <c r="B94" s="167" t="str">
        <f>C93&amp;"  "&amp;D94</f>
        <v>Q345  &gt;16~35</v>
      </c>
      <c r="C94" s="262"/>
      <c r="D94" s="223" t="s">
        <v>200</v>
      </c>
      <c r="E94" s="223">
        <v>360</v>
      </c>
      <c r="F94" s="259">
        <v>210</v>
      </c>
      <c r="G94" s="223">
        <v>440</v>
      </c>
      <c r="H94" s="260">
        <v>345</v>
      </c>
    </row>
    <row r="95" spans="1:8" ht="12.75">
      <c r="A95" s="141">
        <v>18</v>
      </c>
      <c r="B95" s="167" t="str">
        <f>C93&amp;"  "&amp;D95</f>
        <v>Q345  &gt;35~50</v>
      </c>
      <c r="C95" s="262"/>
      <c r="D95" s="223" t="s">
        <v>201</v>
      </c>
      <c r="E95" s="223">
        <v>340</v>
      </c>
      <c r="F95" s="259">
        <v>195</v>
      </c>
      <c r="G95" s="223">
        <v>440</v>
      </c>
      <c r="H95" s="260">
        <v>345</v>
      </c>
    </row>
    <row r="96" spans="1:8" ht="12.75">
      <c r="A96" s="141">
        <v>19</v>
      </c>
      <c r="B96" s="167" t="str">
        <f>C93&amp;"  "&amp;D96</f>
        <v>Q345  &gt;50~100</v>
      </c>
      <c r="C96" s="263"/>
      <c r="D96" s="223" t="s">
        <v>202</v>
      </c>
      <c r="E96" s="223">
        <v>325</v>
      </c>
      <c r="F96" s="259">
        <v>185</v>
      </c>
      <c r="G96" s="223">
        <v>440</v>
      </c>
      <c r="H96" s="260">
        <v>345</v>
      </c>
    </row>
    <row r="98" spans="1:6" ht="12.75">
      <c r="A98" s="180"/>
      <c r="B98" s="180"/>
      <c r="C98" s="266"/>
      <c r="D98" s="266"/>
      <c r="E98" s="266"/>
      <c r="F98" s="180"/>
    </row>
    <row r="99" spans="1:6" ht="12.75">
      <c r="A99" s="180"/>
      <c r="B99" s="266"/>
      <c r="C99" s="266"/>
      <c r="D99" s="266"/>
      <c r="E99" s="228"/>
      <c r="F99" s="266"/>
    </row>
    <row r="100" spans="1:6" ht="12.75">
      <c r="A100" s="180"/>
      <c r="B100" s="266"/>
      <c r="C100" s="266"/>
      <c r="D100" s="266"/>
      <c r="E100" s="266"/>
      <c r="F100" s="266"/>
    </row>
    <row r="101" spans="1:6" ht="12.75">
      <c r="A101" s="180"/>
      <c r="B101" s="266"/>
      <c r="C101" s="266"/>
      <c r="D101" s="266"/>
      <c r="E101" s="266"/>
      <c r="F101" s="266"/>
    </row>
    <row r="102" spans="1:6" ht="12.75">
      <c r="A102" s="180"/>
      <c r="B102" s="266"/>
      <c r="C102" s="266"/>
      <c r="D102" s="266"/>
      <c r="E102" s="266"/>
      <c r="F102" s="266"/>
    </row>
    <row r="103" spans="1:6" ht="12.75">
      <c r="A103" s="180"/>
      <c r="B103" s="266"/>
      <c r="C103" s="266"/>
      <c r="D103" s="266"/>
      <c r="E103" s="266"/>
      <c r="F103" s="180"/>
    </row>
    <row r="104" spans="1:6" ht="12.75">
      <c r="A104" s="180"/>
      <c r="B104" s="266"/>
      <c r="C104" s="266"/>
      <c r="D104" s="266"/>
      <c r="E104" s="266"/>
      <c r="F104" s="180"/>
    </row>
  </sheetData>
  <sheetProtection password="F3E5" sheet="1" objects="1" scenarios="1" selectLockedCells="1"/>
  <mergeCells count="4">
    <mergeCell ref="B15:C15"/>
    <mergeCell ref="A11:A19"/>
    <mergeCell ref="A21:A24"/>
    <mergeCell ref="A1:B1"/>
  </mergeCells>
  <conditionalFormatting sqref="F12 F16 F22">
    <cfRule type="cellIs" priority="1" dxfId="0" operator="greaterThan" stopIfTrue="1">
      <formula>$C$4</formula>
    </cfRule>
  </conditionalFormatting>
  <hyperlinks>
    <hyperlink ref="A1" r:id="rId1" display="www.machinemfg.com"/>
  </hyperlink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96"/>
  <sheetViews>
    <sheetView showGridLines="0" zoomScalePageLayoutView="0" workbookViewId="0" topLeftCell="A1">
      <selection activeCell="A2" sqref="A2"/>
    </sheetView>
  </sheetViews>
  <sheetFormatPr defaultColWidth="9.140625" defaultRowHeight="12.75"/>
  <cols>
    <col min="1" max="1" width="3.7109375" style="141" bestFit="1" customWidth="1"/>
    <col min="2" max="2" width="35.7109375" style="141" customWidth="1"/>
    <col min="3" max="3" width="9.57421875" style="141" bestFit="1" customWidth="1"/>
    <col min="4" max="4" width="9.00390625" style="141" bestFit="1" customWidth="1"/>
    <col min="5" max="5" width="6.7109375" style="141" bestFit="1" customWidth="1"/>
    <col min="6" max="6" width="20.140625" style="141" customWidth="1"/>
    <col min="7" max="7" width="9.140625" style="141" customWidth="1"/>
    <col min="8" max="8" width="8.00390625" style="141" bestFit="1" customWidth="1"/>
    <col min="9" max="9" width="13.57421875" style="141" bestFit="1" customWidth="1"/>
    <col min="10" max="10" width="7.7109375" style="141" bestFit="1" customWidth="1"/>
    <col min="11" max="11" width="6.421875" style="141" bestFit="1" customWidth="1"/>
    <col min="12" max="16384" width="8.8515625" style="141" customWidth="1"/>
  </cols>
  <sheetData>
    <row r="1" spans="1:2" ht="13.5" thickBot="1">
      <c r="A1" s="387" t="s">
        <v>366</v>
      </c>
      <c r="B1" s="387"/>
    </row>
    <row r="2" spans="1:11" ht="12.75">
      <c r="A2" s="59">
        <v>1</v>
      </c>
      <c r="B2" s="143" t="s">
        <v>261</v>
      </c>
      <c r="C2" s="144"/>
      <c r="D2" s="145"/>
      <c r="E2" s="33">
        <v>5</v>
      </c>
      <c r="F2" s="143" t="s">
        <v>266</v>
      </c>
      <c r="G2" s="144"/>
      <c r="H2" s="147"/>
      <c r="I2" s="148"/>
      <c r="J2" s="149"/>
      <c r="K2" s="150"/>
    </row>
    <row r="3" spans="2:11" ht="12.75">
      <c r="B3" s="151" t="s">
        <v>262</v>
      </c>
      <c r="C3" s="152"/>
      <c r="D3" s="153"/>
      <c r="F3" s="154" t="s">
        <v>267</v>
      </c>
      <c r="G3" s="155"/>
      <c r="H3" s="152"/>
      <c r="I3" s="156" t="s">
        <v>274</v>
      </c>
      <c r="J3" s="4">
        <f>G9/10000*7850</f>
        <v>50.459799999999994</v>
      </c>
      <c r="K3" s="157" t="s">
        <v>214</v>
      </c>
    </row>
    <row r="4" spans="2:11" ht="12.75">
      <c r="B4" s="156" t="s">
        <v>263</v>
      </c>
      <c r="C4" s="55">
        <f>VLOOKUP(A2,A78:H96,5,FALSE)</f>
        <v>215</v>
      </c>
      <c r="D4" s="157" t="s">
        <v>19</v>
      </c>
      <c r="F4" s="156" t="s">
        <v>268</v>
      </c>
      <c r="G4" s="55">
        <f>VLOOKUP(E2,H!A1:P68,4,FALSE)</f>
        <v>200</v>
      </c>
      <c r="H4" s="155" t="s">
        <v>4</v>
      </c>
      <c r="I4" s="158" t="s">
        <v>275</v>
      </c>
      <c r="J4" s="55">
        <f>VLOOKUP(E2,H!A1:P68,11,FALSE)</f>
        <v>4770</v>
      </c>
      <c r="K4" s="157" t="s">
        <v>92</v>
      </c>
    </row>
    <row r="5" spans="2:11" ht="12.75">
      <c r="B5" s="156" t="s">
        <v>264</v>
      </c>
      <c r="C5" s="55">
        <f>VLOOKUP(A2,A78:H96,6,FALSE)</f>
        <v>125</v>
      </c>
      <c r="D5" s="157" t="s">
        <v>19</v>
      </c>
      <c r="F5" s="156" t="s">
        <v>269</v>
      </c>
      <c r="G5" s="55">
        <f>VLOOKUP(E2,H!A1:P68,5,FALSE)</f>
        <v>200</v>
      </c>
      <c r="H5" s="155" t="s">
        <v>4</v>
      </c>
      <c r="I5" s="158" t="s">
        <v>276</v>
      </c>
      <c r="J5" s="55">
        <f>VLOOKUP(E2,H!A1:P68,12,FALSE)</f>
        <v>477</v>
      </c>
      <c r="K5" s="157" t="s">
        <v>18</v>
      </c>
    </row>
    <row r="6" spans="2:11" ht="12.75">
      <c r="B6" s="156" t="s">
        <v>265</v>
      </c>
      <c r="C6" s="55">
        <f>VLOOKUP(A2,A78:H96,7,FALSE)</f>
        <v>325</v>
      </c>
      <c r="D6" s="157" t="s">
        <v>19</v>
      </c>
      <c r="F6" s="156" t="s">
        <v>270</v>
      </c>
      <c r="G6" s="55">
        <f>VLOOKUP(E2,H!A1:P68,6,FALSE)</f>
        <v>8</v>
      </c>
      <c r="H6" s="155" t="s">
        <v>4</v>
      </c>
      <c r="I6" s="158" t="s">
        <v>277</v>
      </c>
      <c r="J6" s="55">
        <f>VLOOKUP(E2,H!A1:P68,13,FALSE)</f>
        <v>8.614325054342869</v>
      </c>
      <c r="K6" s="157" t="s">
        <v>177</v>
      </c>
    </row>
    <row r="7" spans="2:11" ht="12.75">
      <c r="B7" s="279"/>
      <c r="C7" s="175"/>
      <c r="D7" s="177"/>
      <c r="F7" s="156" t="s">
        <v>271</v>
      </c>
      <c r="G7" s="55">
        <f>VLOOKUP(E2,H!A1:P68,7,FALSE)</f>
        <v>12</v>
      </c>
      <c r="H7" s="155" t="s">
        <v>4</v>
      </c>
      <c r="I7" s="158" t="s">
        <v>278</v>
      </c>
      <c r="J7" s="55">
        <f>VLOOKUP(E2,H!A1:P68,14,FALSE)</f>
        <v>1600</v>
      </c>
      <c r="K7" s="157" t="s">
        <v>92</v>
      </c>
    </row>
    <row r="8" spans="2:11" ht="12.75">
      <c r="B8" s="156" t="s">
        <v>313</v>
      </c>
      <c r="C8" s="55">
        <f>VLOOKUP(A2,A78:H96,8,FALSE)</f>
        <v>235</v>
      </c>
      <c r="D8" s="157" t="s">
        <v>19</v>
      </c>
      <c r="F8" s="156" t="s">
        <v>272</v>
      </c>
      <c r="G8" s="55">
        <f>VLOOKUP(E2,H!A1:P68,8,FALSE)</f>
        <v>16</v>
      </c>
      <c r="H8" s="155" t="s">
        <v>4</v>
      </c>
      <c r="I8" s="158" t="s">
        <v>279</v>
      </c>
      <c r="J8" s="55">
        <f>VLOOKUP(E2,H!A1:P68,15,FALSE)</f>
        <v>160</v>
      </c>
      <c r="K8" s="157" t="s">
        <v>18</v>
      </c>
    </row>
    <row r="9" spans="2:11" ht="13.5" thickBot="1">
      <c r="B9" s="159" t="s">
        <v>314</v>
      </c>
      <c r="C9" s="134">
        <v>206000</v>
      </c>
      <c r="D9" s="280" t="s">
        <v>247</v>
      </c>
      <c r="F9" s="159" t="s">
        <v>273</v>
      </c>
      <c r="G9" s="68">
        <f>VLOOKUP(E2,H!A1:P68,9,FALSE)</f>
        <v>64.28</v>
      </c>
      <c r="H9" s="161" t="s">
        <v>176</v>
      </c>
      <c r="I9" s="162" t="s">
        <v>280</v>
      </c>
      <c r="J9" s="68">
        <f>VLOOKUP(E2,H!A1:P68,16,FALSE)</f>
        <v>4.99</v>
      </c>
      <c r="K9" s="160" t="s">
        <v>177</v>
      </c>
    </row>
    <row r="10" ht="13.5" thickBot="1"/>
    <row r="11" spans="1:13" ht="12.75">
      <c r="A11" s="281">
        <v>1</v>
      </c>
      <c r="B11" s="143" t="s">
        <v>312</v>
      </c>
      <c r="C11" s="229"/>
      <c r="D11" s="230"/>
      <c r="E11" s="230"/>
      <c r="F11" s="254"/>
      <c r="G11" s="25">
        <v>2</v>
      </c>
      <c r="H11" s="143" t="s">
        <v>312</v>
      </c>
      <c r="I11" s="229"/>
      <c r="J11" s="230"/>
      <c r="K11" s="230"/>
      <c r="L11" s="254"/>
      <c r="M11" s="220"/>
    </row>
    <row r="12" spans="2:13" ht="18.75" customHeight="1">
      <c r="B12" s="137" t="s">
        <v>130</v>
      </c>
      <c r="C12" s="61">
        <v>6000</v>
      </c>
      <c r="D12" s="165" t="s">
        <v>248</v>
      </c>
      <c r="E12" s="167" t="s">
        <v>252</v>
      </c>
      <c r="F12" s="135">
        <f>VLOOKUP(A11,A24:F29,4,FALSE)</f>
        <v>0.41</v>
      </c>
      <c r="G12" s="91"/>
      <c r="H12" s="137" t="s">
        <v>131</v>
      </c>
      <c r="I12" s="61">
        <v>3000</v>
      </c>
      <c r="J12" s="165" t="s">
        <v>248</v>
      </c>
      <c r="K12" s="167" t="s">
        <v>252</v>
      </c>
      <c r="L12" s="135">
        <f>VLOOKUP(G11,A24:F29,4,FALSE)</f>
        <v>0.65</v>
      </c>
      <c r="M12" s="220"/>
    </row>
    <row r="13" spans="2:13" ht="12.75">
      <c r="B13" s="156" t="s">
        <v>249</v>
      </c>
      <c r="C13" s="282">
        <f>J6*10</f>
        <v>86.14325054342869</v>
      </c>
      <c r="D13" s="165" t="s">
        <v>248</v>
      </c>
      <c r="E13" s="167" t="s">
        <v>253</v>
      </c>
      <c r="F13" s="135">
        <f>VLOOKUP(A11,A24:F29,5,FALSE)</f>
        <v>0.986</v>
      </c>
      <c r="G13" s="222"/>
      <c r="H13" s="156" t="s">
        <v>258</v>
      </c>
      <c r="I13" s="282">
        <f>J9*10</f>
        <v>49.900000000000006</v>
      </c>
      <c r="J13" s="165" t="s">
        <v>248</v>
      </c>
      <c r="K13" s="167" t="s">
        <v>253</v>
      </c>
      <c r="L13" s="135">
        <f>VLOOKUP(G11,A24:F29,5,FALSE)</f>
        <v>0.965</v>
      </c>
      <c r="M13" s="220"/>
    </row>
    <row r="14" spans="2:13" ht="12.75">
      <c r="B14" s="156" t="s">
        <v>250</v>
      </c>
      <c r="C14" s="282">
        <f>C12/C13</f>
        <v>69.65142320668674</v>
      </c>
      <c r="D14" s="165"/>
      <c r="E14" s="167" t="s">
        <v>254</v>
      </c>
      <c r="F14" s="135">
        <f>VLOOKUP(A11,A24:F29,6,FALSE)</f>
        <v>0.152</v>
      </c>
      <c r="G14" s="222"/>
      <c r="H14" s="156" t="s">
        <v>259</v>
      </c>
      <c r="I14" s="282">
        <f>I12/I13</f>
        <v>60.12024048096192</v>
      </c>
      <c r="J14" s="165"/>
      <c r="K14" s="167" t="s">
        <v>254</v>
      </c>
      <c r="L14" s="135">
        <f>VLOOKUP(G11,A24:F29,6,FALSE)</f>
        <v>0.3</v>
      </c>
      <c r="M14" s="220"/>
    </row>
    <row r="15" spans="2:13" ht="12.75">
      <c r="B15" s="156" t="s">
        <v>251</v>
      </c>
      <c r="C15" s="201">
        <f>C14/3.1415926*SQRT(C8/C9)</f>
        <v>0.7488251989841955</v>
      </c>
      <c r="D15" s="276"/>
      <c r="E15" s="175"/>
      <c r="F15" s="283"/>
      <c r="G15" s="222"/>
      <c r="H15" s="156" t="s">
        <v>251</v>
      </c>
      <c r="I15" s="201">
        <f>I14/3.1415926*SQRT(C8/C9)</f>
        <v>0.6463550774481803</v>
      </c>
      <c r="J15" s="276"/>
      <c r="K15" s="175"/>
      <c r="L15" s="283"/>
      <c r="M15" s="220"/>
    </row>
    <row r="16" spans="2:13" ht="12.75">
      <c r="B16" s="284"/>
      <c r="C16" s="165"/>
      <c r="D16" s="179"/>
      <c r="E16" s="180"/>
      <c r="F16" s="285"/>
      <c r="G16" s="220"/>
      <c r="H16" s="284"/>
      <c r="I16" s="165"/>
      <c r="J16" s="179"/>
      <c r="K16" s="180"/>
      <c r="L16" s="285"/>
      <c r="M16" s="220"/>
    </row>
    <row r="17" spans="2:13" ht="15.75" thickBot="1">
      <c r="B17" s="136" t="s">
        <v>257</v>
      </c>
      <c r="C17" s="104">
        <f>IF(C15&lt;=0.215,1-F12*C15^2,1/2/C15^2*((F13+F14*C15+C15^2)-SQRT((F13+F14*C15+C15^2)^2-4*C15^2)))</f>
        <v>0.8410957629433706</v>
      </c>
      <c r="D17" s="183"/>
      <c r="E17" s="185"/>
      <c r="F17" s="186"/>
      <c r="G17" s="88"/>
      <c r="H17" s="136" t="s">
        <v>257</v>
      </c>
      <c r="I17" s="104">
        <f>IF(I15&lt;=0.215,1-L12*I15^2,1/2/I15^2*((L13+L14*I15+I15^2)-SQRT((L13+L14*I15+I15^2)^2-4*I15^2)))</f>
        <v>0.8066604888634128</v>
      </c>
      <c r="J17" s="183"/>
      <c r="K17" s="185"/>
      <c r="L17" s="186"/>
      <c r="M17" s="220"/>
    </row>
    <row r="18" spans="7:13" ht="12.75">
      <c r="G18" s="286"/>
      <c r="H18" s="220"/>
      <c r="I18" s="220"/>
      <c r="J18" s="220"/>
      <c r="K18" s="220"/>
      <c r="L18" s="220"/>
      <c r="M18" s="220"/>
    </row>
    <row r="19" spans="1:13" ht="12.75">
      <c r="A19" s="133"/>
      <c r="B19" s="180"/>
      <c r="C19" s="180"/>
      <c r="D19" s="266"/>
      <c r="E19" s="266"/>
      <c r="F19" s="266"/>
      <c r="G19" s="220"/>
      <c r="H19" s="220"/>
      <c r="I19" s="220"/>
      <c r="J19" s="220"/>
      <c r="K19" s="220"/>
      <c r="L19" s="220"/>
      <c r="M19" s="220"/>
    </row>
    <row r="20" spans="1:13" ht="12.75">
      <c r="A20" s="220"/>
      <c r="B20" s="180"/>
      <c r="C20" s="266"/>
      <c r="D20" s="266"/>
      <c r="E20" s="266"/>
      <c r="F20" s="228"/>
      <c r="G20" s="266"/>
      <c r="H20" s="220"/>
      <c r="I20" s="220"/>
      <c r="J20" s="220"/>
      <c r="K20" s="220"/>
      <c r="L20" s="220"/>
      <c r="M20" s="220"/>
    </row>
    <row r="21" spans="1:13" ht="12.75">
      <c r="A21" s="270"/>
      <c r="B21" s="288"/>
      <c r="C21" s="289"/>
      <c r="D21" s="289"/>
      <c r="E21" s="289"/>
      <c r="F21" s="289"/>
      <c r="G21" s="289"/>
      <c r="H21" s="270"/>
      <c r="I21" s="270"/>
      <c r="J21" s="270"/>
      <c r="K21" s="270"/>
      <c r="L21" s="220"/>
      <c r="M21" s="220"/>
    </row>
    <row r="22" spans="1:13" ht="12.75">
      <c r="A22" s="270"/>
      <c r="B22" s="288"/>
      <c r="C22" s="289"/>
      <c r="D22" s="289"/>
      <c r="E22" s="289"/>
      <c r="F22" s="289"/>
      <c r="G22" s="289"/>
      <c r="H22" s="270"/>
      <c r="I22" s="270"/>
      <c r="J22" s="270"/>
      <c r="K22" s="270"/>
      <c r="L22" s="220"/>
      <c r="M22" s="220"/>
    </row>
    <row r="23" spans="1:14" ht="12.75">
      <c r="A23" s="290"/>
      <c r="B23" s="397"/>
      <c r="C23" s="397"/>
      <c r="D23" s="289" t="s">
        <v>235</v>
      </c>
      <c r="E23" s="289" t="s">
        <v>236</v>
      </c>
      <c r="F23" s="289" t="s">
        <v>237</v>
      </c>
      <c r="G23" s="289"/>
      <c r="H23" s="289"/>
      <c r="I23" s="270"/>
      <c r="J23" s="270"/>
      <c r="K23" s="270"/>
      <c r="L23" s="220"/>
      <c r="M23" s="220"/>
      <c r="N23" s="220"/>
    </row>
    <row r="24" spans="1:11" ht="12.75">
      <c r="A24" s="288">
        <v>1</v>
      </c>
      <c r="B24" s="291" t="s">
        <v>316</v>
      </c>
      <c r="C24" s="291"/>
      <c r="D24" s="289">
        <v>0.41</v>
      </c>
      <c r="E24" s="289">
        <v>0.986</v>
      </c>
      <c r="F24" s="272">
        <v>0.152</v>
      </c>
      <c r="G24" s="289" t="s">
        <v>316</v>
      </c>
      <c r="H24" s="288"/>
      <c r="I24" s="288"/>
      <c r="J24" s="288"/>
      <c r="K24" s="269"/>
    </row>
    <row r="25" spans="1:11" ht="12.75">
      <c r="A25" s="288">
        <v>2</v>
      </c>
      <c r="B25" s="291" t="s">
        <v>315</v>
      </c>
      <c r="C25" s="291"/>
      <c r="D25" s="289">
        <v>0.65</v>
      </c>
      <c r="E25" s="289">
        <v>0.965</v>
      </c>
      <c r="F25" s="289">
        <v>0.3</v>
      </c>
      <c r="G25" s="289" t="s">
        <v>315</v>
      </c>
      <c r="H25" s="288"/>
      <c r="I25" s="288"/>
      <c r="J25" s="288"/>
      <c r="K25" s="269"/>
    </row>
    <row r="26" spans="1:11" ht="12.75">
      <c r="A26" s="288">
        <v>3</v>
      </c>
      <c r="B26" s="289" t="s">
        <v>317</v>
      </c>
      <c r="C26" s="289" t="s">
        <v>255</v>
      </c>
      <c r="D26" s="289">
        <v>0.73</v>
      </c>
      <c r="E26" s="289">
        <v>0.906</v>
      </c>
      <c r="F26" s="289">
        <v>0.595</v>
      </c>
      <c r="G26" s="292" t="s">
        <v>319</v>
      </c>
      <c r="H26" s="293"/>
      <c r="I26" s="288"/>
      <c r="J26" s="288"/>
      <c r="K26" s="269"/>
    </row>
    <row r="27" spans="1:11" ht="12.75">
      <c r="A27" s="288">
        <v>4</v>
      </c>
      <c r="B27" s="289"/>
      <c r="C27" s="289" t="s">
        <v>256</v>
      </c>
      <c r="D27" s="289">
        <v>0.73</v>
      </c>
      <c r="E27" s="289">
        <v>1.216</v>
      </c>
      <c r="F27" s="289">
        <v>0.302</v>
      </c>
      <c r="G27" s="292" t="s">
        <v>320</v>
      </c>
      <c r="H27" s="269"/>
      <c r="I27" s="269"/>
      <c r="J27" s="269"/>
      <c r="K27" s="269"/>
    </row>
    <row r="28" spans="1:11" ht="12.75">
      <c r="A28" s="288">
        <v>5</v>
      </c>
      <c r="B28" s="289" t="s">
        <v>318</v>
      </c>
      <c r="C28" s="289" t="s">
        <v>255</v>
      </c>
      <c r="D28" s="289">
        <v>1.35</v>
      </c>
      <c r="E28" s="289">
        <v>0.868</v>
      </c>
      <c r="F28" s="289">
        <v>0.915</v>
      </c>
      <c r="G28" s="292" t="s">
        <v>319</v>
      </c>
      <c r="H28" s="269"/>
      <c r="I28" s="269"/>
      <c r="J28" s="269"/>
      <c r="K28" s="269"/>
    </row>
    <row r="29" spans="1:11" ht="12.75">
      <c r="A29" s="288">
        <v>6</v>
      </c>
      <c r="B29" s="289"/>
      <c r="C29" s="289" t="s">
        <v>256</v>
      </c>
      <c r="D29" s="289">
        <v>1.35</v>
      </c>
      <c r="E29" s="289">
        <v>1.375</v>
      </c>
      <c r="F29" s="289">
        <v>0.432</v>
      </c>
      <c r="G29" s="292" t="s">
        <v>320</v>
      </c>
      <c r="H29" s="269"/>
      <c r="I29" s="269"/>
      <c r="J29" s="269"/>
      <c r="K29" s="269"/>
    </row>
    <row r="30" spans="1:11" ht="12.75">
      <c r="A30" s="269"/>
      <c r="B30" s="269"/>
      <c r="C30" s="269"/>
      <c r="D30" s="269"/>
      <c r="E30" s="269"/>
      <c r="F30" s="269"/>
      <c r="G30" s="269"/>
      <c r="H30" s="269"/>
      <c r="I30" s="269"/>
      <c r="J30" s="269"/>
      <c r="K30" s="269"/>
    </row>
    <row r="31" spans="1:11" ht="12.75">
      <c r="A31" s="269"/>
      <c r="B31" s="269"/>
      <c r="C31" s="269"/>
      <c r="D31" s="269"/>
      <c r="E31" s="269"/>
      <c r="F31" s="269"/>
      <c r="G31" s="269"/>
      <c r="H31" s="269"/>
      <c r="I31" s="269"/>
      <c r="J31" s="269"/>
      <c r="K31" s="269"/>
    </row>
    <row r="32" spans="1:11" ht="12.75">
      <c r="A32" s="269"/>
      <c r="B32" s="269"/>
      <c r="C32" s="269"/>
      <c r="D32" s="269"/>
      <c r="E32" s="269"/>
      <c r="F32" s="269"/>
      <c r="G32" s="269"/>
      <c r="H32" s="269"/>
      <c r="I32" s="269"/>
      <c r="J32" s="269"/>
      <c r="K32" s="269"/>
    </row>
    <row r="33" spans="1:11" ht="12.75">
      <c r="A33" s="269"/>
      <c r="B33" s="269"/>
      <c r="C33" s="269"/>
      <c r="D33" s="269"/>
      <c r="E33" s="269"/>
      <c r="F33" s="269"/>
      <c r="G33" s="269"/>
      <c r="H33" s="269"/>
      <c r="I33" s="269"/>
      <c r="J33" s="269"/>
      <c r="K33" s="269"/>
    </row>
    <row r="77" spans="2:8" ht="12.75">
      <c r="B77" s="258"/>
      <c r="C77" s="379" t="s">
        <v>286</v>
      </c>
      <c r="D77" s="379" t="s">
        <v>287</v>
      </c>
      <c r="E77" s="223" t="s">
        <v>191</v>
      </c>
      <c r="F77" s="259" t="s">
        <v>192</v>
      </c>
      <c r="G77" s="223" t="s">
        <v>193</v>
      </c>
      <c r="H77" s="260" t="s">
        <v>291</v>
      </c>
    </row>
    <row r="78" spans="1:8" ht="12.75">
      <c r="A78" s="141">
        <v>1</v>
      </c>
      <c r="B78" s="167" t="str">
        <f>C78&amp;"  "&amp;D78</f>
        <v>Q235  &lt;=16</v>
      </c>
      <c r="C78" s="261" t="s">
        <v>194</v>
      </c>
      <c r="D78" s="223" t="s">
        <v>195</v>
      </c>
      <c r="E78" s="223">
        <v>215</v>
      </c>
      <c r="F78" s="259">
        <v>125</v>
      </c>
      <c r="G78" s="223">
        <v>325</v>
      </c>
      <c r="H78" s="260">
        <v>235</v>
      </c>
    </row>
    <row r="79" spans="1:8" ht="12.75">
      <c r="A79" s="141">
        <v>2</v>
      </c>
      <c r="B79" s="167" t="str">
        <f>C78&amp;"  "&amp;D79</f>
        <v>Q235  &gt;16~40</v>
      </c>
      <c r="C79" s="262"/>
      <c r="D79" s="223" t="s">
        <v>238</v>
      </c>
      <c r="E79" s="223">
        <v>205</v>
      </c>
      <c r="F79" s="259">
        <v>120</v>
      </c>
      <c r="G79" s="223">
        <v>325</v>
      </c>
      <c r="H79" s="260">
        <v>235</v>
      </c>
    </row>
    <row r="80" spans="1:8" ht="12.75">
      <c r="A80" s="141">
        <v>3</v>
      </c>
      <c r="B80" s="167" t="str">
        <f>C78&amp;"  "&amp;D80</f>
        <v>Q235  &gt;40~60</v>
      </c>
      <c r="C80" s="262"/>
      <c r="D80" s="223" t="s">
        <v>239</v>
      </c>
      <c r="E80" s="223">
        <v>200</v>
      </c>
      <c r="F80" s="259">
        <v>115</v>
      </c>
      <c r="G80" s="223">
        <v>325</v>
      </c>
      <c r="H80" s="260">
        <v>235</v>
      </c>
    </row>
    <row r="81" spans="1:8" ht="12.75">
      <c r="A81" s="141">
        <v>4</v>
      </c>
      <c r="B81" s="167" t="str">
        <f>C78&amp;"  "&amp;D81</f>
        <v>Q235  &gt;60~100</v>
      </c>
      <c r="C81" s="263"/>
      <c r="D81" s="223" t="s">
        <v>240</v>
      </c>
      <c r="E81" s="223">
        <v>190</v>
      </c>
      <c r="F81" s="259">
        <v>110</v>
      </c>
      <c r="G81" s="223">
        <v>325</v>
      </c>
      <c r="H81" s="260">
        <v>235</v>
      </c>
    </row>
    <row r="82" spans="1:8" ht="12.75">
      <c r="A82" s="141">
        <v>5</v>
      </c>
      <c r="B82" s="199" t="str">
        <f>C79&amp;"  "&amp;D82</f>
        <v>  </v>
      </c>
      <c r="C82" s="264"/>
      <c r="D82" s="264"/>
      <c r="E82" s="264"/>
      <c r="F82" s="264"/>
      <c r="G82" s="223"/>
      <c r="H82" s="165"/>
    </row>
    <row r="83" spans="1:8" ht="12.75">
      <c r="A83" s="141">
        <v>6</v>
      </c>
      <c r="B83" s="167" t="str">
        <f>C83&amp;"  "&amp;D83</f>
        <v>Q345  &lt;=16</v>
      </c>
      <c r="C83" s="261" t="s">
        <v>241</v>
      </c>
      <c r="D83" s="223" t="s">
        <v>242</v>
      </c>
      <c r="E83" s="223">
        <v>310</v>
      </c>
      <c r="F83" s="259">
        <v>180</v>
      </c>
      <c r="G83" s="223">
        <v>400</v>
      </c>
      <c r="H83" s="260">
        <v>345</v>
      </c>
    </row>
    <row r="84" spans="1:8" ht="12.75">
      <c r="A84" s="141">
        <v>7</v>
      </c>
      <c r="B84" s="167" t="str">
        <f>C83&amp;"  "&amp;D84</f>
        <v>Q345  &gt;16~35</v>
      </c>
      <c r="C84" s="262"/>
      <c r="D84" s="223" t="s">
        <v>243</v>
      </c>
      <c r="E84" s="223">
        <v>295</v>
      </c>
      <c r="F84" s="259">
        <v>170</v>
      </c>
      <c r="G84" s="223">
        <v>400</v>
      </c>
      <c r="H84" s="260">
        <v>345</v>
      </c>
    </row>
    <row r="85" spans="1:8" ht="12.75">
      <c r="A85" s="141">
        <v>8</v>
      </c>
      <c r="B85" s="167" t="str">
        <f>C83&amp;"  "&amp;D85</f>
        <v>Q345  &gt;35~50</v>
      </c>
      <c r="C85" s="262"/>
      <c r="D85" s="223" t="s">
        <v>244</v>
      </c>
      <c r="E85" s="223">
        <v>265</v>
      </c>
      <c r="F85" s="259">
        <v>155</v>
      </c>
      <c r="G85" s="223">
        <v>400</v>
      </c>
      <c r="H85" s="260">
        <v>345</v>
      </c>
    </row>
    <row r="86" spans="1:8" ht="12.75">
      <c r="A86" s="141">
        <v>9</v>
      </c>
      <c r="B86" s="167" t="str">
        <f>C83&amp;"  "&amp;D86</f>
        <v>Q345  &gt;50~100</v>
      </c>
      <c r="C86" s="263"/>
      <c r="D86" s="223" t="s">
        <v>245</v>
      </c>
      <c r="E86" s="223">
        <v>250</v>
      </c>
      <c r="F86" s="259">
        <v>145</v>
      </c>
      <c r="G86" s="223">
        <v>400</v>
      </c>
      <c r="H86" s="260">
        <v>345</v>
      </c>
    </row>
    <row r="87" spans="1:8" ht="12.75">
      <c r="A87" s="141">
        <v>10</v>
      </c>
      <c r="B87" s="199" t="str">
        <f>C84&amp;"  "&amp;D87</f>
        <v>  </v>
      </c>
      <c r="C87" s="264"/>
      <c r="D87" s="264"/>
      <c r="E87" s="264"/>
      <c r="F87" s="264"/>
      <c r="G87" s="223"/>
      <c r="H87" s="165"/>
    </row>
    <row r="88" spans="1:8" ht="12.75">
      <c r="A88" s="141">
        <v>11</v>
      </c>
      <c r="B88" s="167" t="str">
        <f>C88&amp;"  "&amp;D88</f>
        <v>Q390  &lt;=16</v>
      </c>
      <c r="C88" s="261" t="s">
        <v>246</v>
      </c>
      <c r="D88" s="223" t="s">
        <v>242</v>
      </c>
      <c r="E88" s="223">
        <v>350</v>
      </c>
      <c r="F88" s="259">
        <v>205</v>
      </c>
      <c r="G88" s="223">
        <v>415</v>
      </c>
      <c r="H88" s="260">
        <v>390</v>
      </c>
    </row>
    <row r="89" spans="1:8" ht="12.75">
      <c r="A89" s="141">
        <v>12</v>
      </c>
      <c r="B89" s="167" t="str">
        <f>C88&amp;"  "&amp;D89</f>
        <v>Q390  &gt;16~35</v>
      </c>
      <c r="C89" s="262"/>
      <c r="D89" s="223" t="s">
        <v>243</v>
      </c>
      <c r="E89" s="223">
        <v>335</v>
      </c>
      <c r="F89" s="259">
        <v>190</v>
      </c>
      <c r="G89" s="223">
        <v>415</v>
      </c>
      <c r="H89" s="260">
        <v>390</v>
      </c>
    </row>
    <row r="90" spans="1:8" ht="12.75">
      <c r="A90" s="141">
        <v>13</v>
      </c>
      <c r="B90" s="167" t="str">
        <f>C88&amp;"  "&amp;D90</f>
        <v>Q390  &gt;35~50</v>
      </c>
      <c r="C90" s="262"/>
      <c r="D90" s="223" t="s">
        <v>244</v>
      </c>
      <c r="E90" s="223">
        <v>315</v>
      </c>
      <c r="F90" s="259">
        <v>180</v>
      </c>
      <c r="G90" s="223">
        <v>415</v>
      </c>
      <c r="H90" s="260">
        <v>390</v>
      </c>
    </row>
    <row r="91" spans="1:8" ht="12.75">
      <c r="A91" s="141">
        <v>14</v>
      </c>
      <c r="B91" s="167" t="str">
        <f>C88&amp;"  "&amp;D91</f>
        <v>Q390  &gt;50~100</v>
      </c>
      <c r="C91" s="263"/>
      <c r="D91" s="223" t="s">
        <v>245</v>
      </c>
      <c r="E91" s="223">
        <v>295</v>
      </c>
      <c r="F91" s="259">
        <v>170</v>
      </c>
      <c r="G91" s="223">
        <v>415</v>
      </c>
      <c r="H91" s="260">
        <v>390</v>
      </c>
    </row>
    <row r="92" spans="1:8" ht="12.75">
      <c r="A92" s="141">
        <v>15</v>
      </c>
      <c r="B92" s="199" t="str">
        <f>C89&amp;"  "&amp;D92</f>
        <v>  </v>
      </c>
      <c r="C92" s="264"/>
      <c r="D92" s="264"/>
      <c r="E92" s="264"/>
      <c r="F92" s="264"/>
      <c r="G92" s="223"/>
      <c r="H92" s="165"/>
    </row>
    <row r="93" spans="1:8" ht="12.75">
      <c r="A93" s="141">
        <v>16</v>
      </c>
      <c r="B93" s="167" t="str">
        <f>C93&amp;"  "&amp;D93</f>
        <v>Q345  &lt;=16</v>
      </c>
      <c r="C93" s="261" t="s">
        <v>241</v>
      </c>
      <c r="D93" s="223" t="s">
        <v>242</v>
      </c>
      <c r="E93" s="223">
        <v>380</v>
      </c>
      <c r="F93" s="259">
        <v>220</v>
      </c>
      <c r="G93" s="223">
        <v>440</v>
      </c>
      <c r="H93" s="260">
        <v>345</v>
      </c>
    </row>
    <row r="94" spans="1:8" ht="12.75">
      <c r="A94" s="141">
        <v>17</v>
      </c>
      <c r="B94" s="167" t="str">
        <f>C93&amp;"  "&amp;D94</f>
        <v>Q345  &gt;16~35</v>
      </c>
      <c r="C94" s="262"/>
      <c r="D94" s="223" t="s">
        <v>243</v>
      </c>
      <c r="E94" s="223">
        <v>360</v>
      </c>
      <c r="F94" s="259">
        <v>210</v>
      </c>
      <c r="G94" s="223">
        <v>440</v>
      </c>
      <c r="H94" s="260">
        <v>345</v>
      </c>
    </row>
    <row r="95" spans="1:8" ht="12.75">
      <c r="A95" s="141">
        <v>18</v>
      </c>
      <c r="B95" s="167" t="str">
        <f>C93&amp;"  "&amp;D95</f>
        <v>Q345  &gt;35~50</v>
      </c>
      <c r="C95" s="262"/>
      <c r="D95" s="223" t="s">
        <v>244</v>
      </c>
      <c r="E95" s="223">
        <v>340</v>
      </c>
      <c r="F95" s="259">
        <v>195</v>
      </c>
      <c r="G95" s="223">
        <v>440</v>
      </c>
      <c r="H95" s="260">
        <v>345</v>
      </c>
    </row>
    <row r="96" spans="1:8" ht="12.75">
      <c r="A96" s="141">
        <v>19</v>
      </c>
      <c r="B96" s="167" t="str">
        <f>C93&amp;"  "&amp;D96</f>
        <v>Q345  &gt;50~100</v>
      </c>
      <c r="C96" s="263"/>
      <c r="D96" s="223" t="s">
        <v>245</v>
      </c>
      <c r="E96" s="223">
        <v>325</v>
      </c>
      <c r="F96" s="259">
        <v>185</v>
      </c>
      <c r="G96" s="223">
        <v>440</v>
      </c>
      <c r="H96" s="260">
        <v>345</v>
      </c>
    </row>
  </sheetData>
  <sheetProtection password="F3E5" sheet="1" objects="1" scenarios="1" selectLockedCells="1"/>
  <mergeCells count="2">
    <mergeCell ref="B23:C23"/>
    <mergeCell ref="A1:B1"/>
  </mergeCells>
  <conditionalFormatting sqref="C15 I15">
    <cfRule type="cellIs" priority="1" dxfId="13" operator="lessThanOrEqual" stopIfTrue="1">
      <formula>1.05</formula>
    </cfRule>
    <cfRule type="cellIs" priority="2" dxfId="12" operator="greaterThan" stopIfTrue="1">
      <formula>1.05</formula>
    </cfRule>
  </conditionalFormatting>
  <hyperlinks>
    <hyperlink ref="A1" r:id="rId1" display="www.machinemfg.com"/>
  </hyperlink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1"/>
  <sheetViews>
    <sheetView showGridLines="0" zoomScalePageLayoutView="0" workbookViewId="0" topLeftCell="A1">
      <selection activeCell="B11" sqref="B11"/>
    </sheetView>
  </sheetViews>
  <sheetFormatPr defaultColWidth="9.140625" defaultRowHeight="12.75"/>
  <cols>
    <col min="1" max="1" width="2.7109375" style="141" bestFit="1" customWidth="1"/>
    <col min="2" max="2" width="42.7109375" style="141" customWidth="1"/>
    <col min="3" max="3" width="7.7109375" style="141" bestFit="1" customWidth="1"/>
    <col min="4" max="4" width="8.421875" style="141" bestFit="1" customWidth="1"/>
    <col min="5" max="5" width="20.8515625" style="141" customWidth="1"/>
    <col min="6" max="6" width="6.7109375" style="141" bestFit="1" customWidth="1"/>
    <col min="7" max="7" width="6.00390625" style="141" bestFit="1" customWidth="1"/>
    <col min="8" max="8" width="32.57421875" style="141" bestFit="1" customWidth="1"/>
    <col min="9" max="9" width="7.8515625" style="141" bestFit="1" customWidth="1"/>
    <col min="10" max="10" width="6.421875" style="141" bestFit="1" customWidth="1"/>
    <col min="11" max="16384" width="8.8515625" style="141" customWidth="1"/>
  </cols>
  <sheetData>
    <row r="1" spans="2:10" ht="43.5" customHeight="1" thickBot="1">
      <c r="B1" s="398" t="s">
        <v>321</v>
      </c>
      <c r="C1" s="398"/>
      <c r="D1" s="398"/>
      <c r="E1" s="398"/>
      <c r="F1" s="398"/>
      <c r="G1" s="398"/>
      <c r="H1" s="398"/>
      <c r="I1" s="398"/>
      <c r="J1" s="398"/>
    </row>
    <row r="2" spans="1:10" ht="15">
      <c r="A2" s="59">
        <v>6</v>
      </c>
      <c r="B2" s="146" t="s">
        <v>261</v>
      </c>
      <c r="C2" s="144"/>
      <c r="D2" s="145"/>
      <c r="E2" s="146" t="s">
        <v>266</v>
      </c>
      <c r="F2" s="144"/>
      <c r="G2" s="147"/>
      <c r="H2" s="127">
        <v>26</v>
      </c>
      <c r="I2" s="149"/>
      <c r="J2" s="150"/>
    </row>
    <row r="3" spans="2:10" ht="12.75">
      <c r="B3" s="151" t="s">
        <v>262</v>
      </c>
      <c r="C3" s="152"/>
      <c r="D3" s="153"/>
      <c r="E3" s="154" t="s">
        <v>267</v>
      </c>
      <c r="F3" s="155"/>
      <c r="G3" s="152"/>
      <c r="H3" s="156" t="s">
        <v>274</v>
      </c>
      <c r="I3" s="4">
        <f>F9/10000*7850</f>
        <v>57.32855000000001</v>
      </c>
      <c r="J3" s="157" t="s">
        <v>214</v>
      </c>
    </row>
    <row r="4" spans="2:10" ht="12.75">
      <c r="B4" s="156" t="s">
        <v>263</v>
      </c>
      <c r="C4" s="55">
        <f>VLOOKUP(A2,ψx!A78:H96,5,FALSE)</f>
        <v>310</v>
      </c>
      <c r="D4" s="157" t="s">
        <v>19</v>
      </c>
      <c r="E4" s="156" t="s">
        <v>268</v>
      </c>
      <c r="F4" s="55">
        <f>VLOOKUP(H2,H!A1:P68,4,FALSE)</f>
        <v>294</v>
      </c>
      <c r="G4" s="155" t="s">
        <v>4</v>
      </c>
      <c r="H4" s="158" t="s">
        <v>275</v>
      </c>
      <c r="I4" s="55">
        <f>VLOOKUP(H2,H!A1:P68,11,FALSE)</f>
        <v>11400</v>
      </c>
      <c r="J4" s="157" t="s">
        <v>92</v>
      </c>
    </row>
    <row r="5" spans="2:10" ht="12.75">
      <c r="B5" s="156" t="s">
        <v>264</v>
      </c>
      <c r="C5" s="55">
        <f>VLOOKUP(A2,ψx!A78:H96,6,FALSE)</f>
        <v>180</v>
      </c>
      <c r="D5" s="157" t="s">
        <v>19</v>
      </c>
      <c r="E5" s="156" t="s">
        <v>269</v>
      </c>
      <c r="F5" s="55">
        <f>VLOOKUP(H2,H!A1:P68,5,FALSE)</f>
        <v>200</v>
      </c>
      <c r="G5" s="155" t="s">
        <v>4</v>
      </c>
      <c r="H5" s="158" t="s">
        <v>276</v>
      </c>
      <c r="I5" s="55">
        <f>VLOOKUP(H2,H!A1:P68,12,FALSE)</f>
        <v>779</v>
      </c>
      <c r="J5" s="157" t="s">
        <v>18</v>
      </c>
    </row>
    <row r="6" spans="2:10" ht="12.75">
      <c r="B6" s="156" t="s">
        <v>265</v>
      </c>
      <c r="C6" s="55">
        <f>VLOOKUP(A2,ψx!A78:H96,7,FALSE)</f>
        <v>400</v>
      </c>
      <c r="D6" s="157" t="s">
        <v>19</v>
      </c>
      <c r="E6" s="156" t="s">
        <v>270</v>
      </c>
      <c r="F6" s="55">
        <f>VLOOKUP(H2,H!A1:P68,6,FALSE)</f>
        <v>8</v>
      </c>
      <c r="G6" s="155" t="s">
        <v>4</v>
      </c>
      <c r="H6" s="158" t="s">
        <v>277</v>
      </c>
      <c r="I6" s="4">
        <f>VLOOKUP(H2,H!A1:P68,13,FALSE)</f>
        <v>12.5</v>
      </c>
      <c r="J6" s="157" t="s">
        <v>177</v>
      </c>
    </row>
    <row r="7" spans="2:10" ht="12.75">
      <c r="B7" s="279"/>
      <c r="C7" s="294"/>
      <c r="D7" s="177"/>
      <c r="E7" s="156" t="s">
        <v>271</v>
      </c>
      <c r="F7" s="55">
        <f>VLOOKUP(H2,H!A1:P68,7,FALSE)</f>
        <v>12</v>
      </c>
      <c r="G7" s="155" t="s">
        <v>4</v>
      </c>
      <c r="H7" s="158" t="s">
        <v>278</v>
      </c>
      <c r="I7" s="55">
        <f>VLOOKUP(H2,H!A1:P68,14,FALSE)</f>
        <v>1600</v>
      </c>
      <c r="J7" s="157" t="s">
        <v>92</v>
      </c>
    </row>
    <row r="8" spans="2:10" ht="12.75">
      <c r="B8" s="206" t="s">
        <v>322</v>
      </c>
      <c r="C8" s="55">
        <f>VLOOKUP(A2,ψx!A78:H96,8,FALSE)</f>
        <v>345</v>
      </c>
      <c r="D8" s="157" t="s">
        <v>19</v>
      </c>
      <c r="E8" s="156" t="s">
        <v>272</v>
      </c>
      <c r="F8" s="55">
        <f>VLOOKUP(H2,H!A1:P68,8,FALSE)</f>
        <v>20</v>
      </c>
      <c r="G8" s="155" t="s">
        <v>4</v>
      </c>
      <c r="H8" s="158" t="s">
        <v>279</v>
      </c>
      <c r="I8" s="55">
        <f>VLOOKUP(H2,H!A1:P68,15,FALSE)</f>
        <v>160</v>
      </c>
      <c r="J8" s="157" t="s">
        <v>18</v>
      </c>
    </row>
    <row r="9" spans="2:10" ht="13.5" thickBot="1">
      <c r="B9" s="207" t="s">
        <v>323</v>
      </c>
      <c r="C9" s="68">
        <v>206000</v>
      </c>
      <c r="D9" s="280" t="s">
        <v>247</v>
      </c>
      <c r="E9" s="159" t="s">
        <v>273</v>
      </c>
      <c r="F9" s="68">
        <f>VLOOKUP(H2,H!A1:P68,9,FALSE)</f>
        <v>73.03</v>
      </c>
      <c r="G9" s="161" t="s">
        <v>176</v>
      </c>
      <c r="H9" s="162" t="s">
        <v>280</v>
      </c>
      <c r="I9" s="140">
        <f>VLOOKUP(H2,H!A1:P68,16,FALSE)</f>
        <v>4.69</v>
      </c>
      <c r="J9" s="160" t="s">
        <v>177</v>
      </c>
    </row>
    <row r="11" ht="12.75">
      <c r="B11" s="381" t="s">
        <v>366</v>
      </c>
    </row>
  </sheetData>
  <sheetProtection password="F3E5" sheet="1"/>
  <mergeCells count="1">
    <mergeCell ref="B1:J1"/>
  </mergeCells>
  <hyperlinks>
    <hyperlink ref="B11" r:id="rId1" display="www.machinemfg.com"/>
  </hyperlinks>
  <printOptions/>
  <pageMargins left="0.75" right="0.75" top="1" bottom="1" header="0.5" footer="0.5"/>
  <pageSetup horizontalDpi="200" verticalDpi="2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/>
  <dimension ref="A1:O49"/>
  <sheetViews>
    <sheetView showGridLines="0" zoomScalePageLayoutView="0" workbookViewId="0" topLeftCell="A1">
      <selection activeCell="H12" sqref="H12"/>
    </sheetView>
  </sheetViews>
  <sheetFormatPr defaultColWidth="9.140625" defaultRowHeight="12.75"/>
  <cols>
    <col min="1" max="1" width="3.7109375" style="180" bestFit="1" customWidth="1"/>
    <col min="2" max="2" width="9.140625" style="180" customWidth="1"/>
    <col min="3" max="3" width="9.28125" style="180" bestFit="1" customWidth="1"/>
    <col min="4" max="4" width="8.7109375" style="180" customWidth="1"/>
    <col min="5" max="6" width="4.8515625" style="180" customWidth="1"/>
    <col min="7" max="7" width="30.140625" style="176" customWidth="1"/>
    <col min="8" max="8" width="9.7109375" style="180" bestFit="1" customWidth="1"/>
    <col min="9" max="9" width="11.140625" style="180" bestFit="1" customWidth="1"/>
    <col min="10" max="10" width="3.421875" style="180" customWidth="1"/>
    <col min="11" max="11" width="15.7109375" style="180" customWidth="1"/>
    <col min="12" max="12" width="10.421875" style="180" customWidth="1"/>
    <col min="13" max="16384" width="9.140625" style="180" customWidth="1"/>
  </cols>
  <sheetData>
    <row r="1" spans="1:4" ht="13.5" thickBot="1">
      <c r="A1" s="20">
        <v>64</v>
      </c>
      <c r="B1" s="404" t="s">
        <v>366</v>
      </c>
      <c r="C1" s="404"/>
      <c r="D1" s="404"/>
    </row>
    <row r="2" spans="2:14" ht="13.5" thickTop="1">
      <c r="B2" s="295"/>
      <c r="C2" s="296"/>
      <c r="D2" s="296"/>
      <c r="E2" s="296"/>
      <c r="F2" s="297"/>
      <c r="G2" s="298"/>
      <c r="H2" s="296"/>
      <c r="I2" s="297"/>
      <c r="J2" s="299"/>
      <c r="K2" s="296"/>
      <c r="L2" s="296"/>
      <c r="M2" s="297"/>
      <c r="N2" s="300"/>
    </row>
    <row r="3" spans="2:14" ht="13.5" thickBot="1">
      <c r="B3" s="300"/>
      <c r="C3" s="176"/>
      <c r="D3" s="6" t="s">
        <v>15</v>
      </c>
      <c r="F3" s="301"/>
      <c r="G3" s="302"/>
      <c r="I3" s="301"/>
      <c r="J3" s="222"/>
      <c r="M3" s="301"/>
      <c r="N3" s="300"/>
    </row>
    <row r="4" spans="2:14" ht="13.5" thickTop="1">
      <c r="B4" s="300" t="s">
        <v>94</v>
      </c>
      <c r="E4" s="1" t="s">
        <v>1</v>
      </c>
      <c r="F4" s="29"/>
      <c r="G4" s="303" t="s">
        <v>268</v>
      </c>
      <c r="H4" s="16">
        <f>VLOOKUP(A$1,H!A$2:L$68,4,FALSE)</f>
        <v>800</v>
      </c>
      <c r="I4" s="17" t="s">
        <v>4</v>
      </c>
      <c r="J4" s="222"/>
      <c r="M4" s="301"/>
      <c r="N4" s="300"/>
    </row>
    <row r="5" spans="2:14" ht="13.5" thickBot="1">
      <c r="B5" s="300"/>
      <c r="C5" s="176" t="s">
        <v>7</v>
      </c>
      <c r="F5" s="301"/>
      <c r="G5" s="304" t="s">
        <v>269</v>
      </c>
      <c r="H5" s="10">
        <f>VLOOKUP(A$1,H!A$2:L$68,5,FALSE)</f>
        <v>300</v>
      </c>
      <c r="I5" s="8" t="s">
        <v>4</v>
      </c>
      <c r="J5" s="222"/>
      <c r="M5" s="305"/>
      <c r="N5" s="300"/>
    </row>
    <row r="6" spans="2:14" ht="13.5" thickTop="1">
      <c r="B6" s="300"/>
      <c r="F6" s="301"/>
      <c r="G6" s="304" t="s">
        <v>324</v>
      </c>
      <c r="H6" s="10">
        <f>VLOOKUP(A$1,H!A$2:L$68,6,FALSE)</f>
        <v>14</v>
      </c>
      <c r="I6" s="8" t="s">
        <v>4</v>
      </c>
      <c r="J6" s="220"/>
      <c r="K6" s="401" t="s">
        <v>329</v>
      </c>
      <c r="L6" s="402"/>
      <c r="M6" s="403"/>
      <c r="N6" s="300"/>
    </row>
    <row r="7" spans="2:14" ht="12.75">
      <c r="B7" s="399" t="s">
        <v>3</v>
      </c>
      <c r="C7" s="400"/>
      <c r="D7" s="3" t="s">
        <v>0</v>
      </c>
      <c r="F7" s="301"/>
      <c r="G7" s="304" t="s">
        <v>325</v>
      </c>
      <c r="H7" s="10">
        <f>VLOOKUP(A$1,H!A$2:L$68,7,FALSE)</f>
        <v>26</v>
      </c>
      <c r="I7" s="8" t="s">
        <v>4</v>
      </c>
      <c r="J7" s="222"/>
      <c r="K7" s="308" t="s">
        <v>98</v>
      </c>
      <c r="L7" s="4">
        <f>F*D12*D13/D14</f>
        <v>19.5</v>
      </c>
      <c r="M7" s="309" t="s">
        <v>6</v>
      </c>
      <c r="N7" s="300"/>
    </row>
    <row r="8" spans="2:14" ht="12.75">
      <c r="B8" s="2"/>
      <c r="C8" s="1"/>
      <c r="D8" s="1"/>
      <c r="F8" s="301"/>
      <c r="G8" s="304" t="s">
        <v>326</v>
      </c>
      <c r="H8" s="10">
        <f>VLOOKUP(A$1,H!A$2:L$68,10,FALSE)</f>
        <v>210</v>
      </c>
      <c r="I8" s="9" t="s">
        <v>91</v>
      </c>
      <c r="J8" s="220"/>
      <c r="K8" s="308" t="s">
        <v>328</v>
      </c>
      <c r="L8" s="4">
        <f>0.125*(H8/100)*D14^2</f>
        <v>9.450000000000001</v>
      </c>
      <c r="M8" s="309" t="s">
        <v>6</v>
      </c>
      <c r="N8" s="300"/>
    </row>
    <row r="9" spans="2:14" ht="13.5">
      <c r="B9" s="2"/>
      <c r="C9" s="12" t="s">
        <v>16</v>
      </c>
      <c r="D9" s="1"/>
      <c r="F9" s="301"/>
      <c r="G9" s="304" t="s">
        <v>275</v>
      </c>
      <c r="H9" s="10">
        <f>VLOOKUP(A$1,H!A$2:L$68,11,FALSE)</f>
        <v>292000</v>
      </c>
      <c r="I9" s="9" t="s">
        <v>92</v>
      </c>
      <c r="J9" s="220"/>
      <c r="K9" s="308" t="s">
        <v>96</v>
      </c>
      <c r="L9" s="4">
        <f>F*D13/D14</f>
        <v>6.5</v>
      </c>
      <c r="M9" s="309" t="s">
        <v>5</v>
      </c>
      <c r="N9" s="300"/>
    </row>
    <row r="10" spans="2:14" ht="13.5">
      <c r="B10" s="2"/>
      <c r="C10" s="12"/>
      <c r="D10" s="1"/>
      <c r="F10" s="301"/>
      <c r="G10" s="304" t="s">
        <v>276</v>
      </c>
      <c r="H10" s="10">
        <f>VLOOKUP(A$1,H!A$2:L$68,12,FALSE)</f>
        <v>7290</v>
      </c>
      <c r="I10" s="9" t="s">
        <v>18</v>
      </c>
      <c r="J10" s="220"/>
      <c r="K10" s="308" t="s">
        <v>95</v>
      </c>
      <c r="L10" s="4">
        <f>F*D12/D14</f>
        <v>6.5</v>
      </c>
      <c r="M10" s="309" t="s">
        <v>5</v>
      </c>
      <c r="N10" s="300"/>
    </row>
    <row r="11" spans="2:14" ht="13.5" thickBot="1">
      <c r="B11" s="300"/>
      <c r="F11" s="301"/>
      <c r="G11" s="31" t="s">
        <v>327</v>
      </c>
      <c r="H11" s="11">
        <v>206000</v>
      </c>
      <c r="I11" s="18" t="s">
        <v>19</v>
      </c>
      <c r="K11" s="308" t="s">
        <v>97</v>
      </c>
      <c r="L11" s="4">
        <f>L7+L8</f>
        <v>28.950000000000003</v>
      </c>
      <c r="M11" s="309" t="s">
        <v>6</v>
      </c>
      <c r="N11" s="300"/>
    </row>
    <row r="12" spans="2:14" ht="15.75" thickTop="1">
      <c r="B12" s="300"/>
      <c r="C12" s="232" t="s">
        <v>9</v>
      </c>
      <c r="D12" s="310">
        <f>H13/1000</f>
        <v>3</v>
      </c>
      <c r="E12" s="311" t="s">
        <v>10</v>
      </c>
      <c r="G12" s="13" t="s">
        <v>2</v>
      </c>
      <c r="H12" s="22">
        <v>13</v>
      </c>
      <c r="I12" s="312" t="s">
        <v>5</v>
      </c>
      <c r="J12" s="220"/>
      <c r="K12" s="328" t="s">
        <v>330</v>
      </c>
      <c r="L12" s="26">
        <f>M*10^6/(Wx*1000)</f>
        <v>3.9711934156378605</v>
      </c>
      <c r="M12" s="314" t="s">
        <v>8</v>
      </c>
      <c r="N12" s="300"/>
    </row>
    <row r="13" spans="2:14" ht="15">
      <c r="B13" s="300"/>
      <c r="C13" s="158" t="s">
        <v>11</v>
      </c>
      <c r="D13" s="191">
        <f>H14/1000</f>
        <v>3</v>
      </c>
      <c r="E13" s="255" t="s">
        <v>10</v>
      </c>
      <c r="G13" s="14" t="s">
        <v>9</v>
      </c>
      <c r="H13" s="23">
        <v>3000</v>
      </c>
      <c r="I13" s="309" t="s">
        <v>12</v>
      </c>
      <c r="J13" s="220"/>
      <c r="K13" s="328" t="s">
        <v>331</v>
      </c>
      <c r="L13" s="26">
        <f>F*1000*H13^2*H14^2/3/E/(Ix*10000)/D14/1000</f>
        <v>0.09725362415214789</v>
      </c>
      <c r="M13" s="314" t="s">
        <v>12</v>
      </c>
      <c r="N13" s="300"/>
    </row>
    <row r="14" spans="2:14" ht="15.75" thickBot="1">
      <c r="B14" s="315"/>
      <c r="C14" s="316" t="s">
        <v>93</v>
      </c>
      <c r="D14" s="317">
        <f>D12+D13</f>
        <v>6</v>
      </c>
      <c r="E14" s="318" t="s">
        <v>10</v>
      </c>
      <c r="F14" s="319"/>
      <c r="G14" s="15" t="s">
        <v>11</v>
      </c>
      <c r="H14" s="24">
        <v>3000</v>
      </c>
      <c r="I14" s="320" t="s">
        <v>12</v>
      </c>
      <c r="J14" s="321"/>
      <c r="K14" s="329" t="s">
        <v>332</v>
      </c>
      <c r="L14" s="32">
        <f>D14*1000/L13</f>
        <v>61694.35897435898</v>
      </c>
      <c r="M14" s="320"/>
      <c r="N14" s="300"/>
    </row>
    <row r="15" spans="7:10" ht="14.25" thickBot="1" thickTop="1">
      <c r="G15" s="7"/>
      <c r="H15" s="220"/>
      <c r="J15" s="220"/>
    </row>
    <row r="16" spans="1:13" ht="13.5" thickTop="1">
      <c r="A16" s="20">
        <v>39</v>
      </c>
      <c r="B16" s="295"/>
      <c r="C16" s="296"/>
      <c r="D16" s="296"/>
      <c r="E16" s="296"/>
      <c r="F16" s="297"/>
      <c r="G16" s="298"/>
      <c r="H16" s="296"/>
      <c r="I16" s="297"/>
      <c r="J16" s="299"/>
      <c r="K16" s="296"/>
      <c r="L16" s="296"/>
      <c r="M16" s="297"/>
    </row>
    <row r="17" spans="2:13" ht="13.5" thickBot="1">
      <c r="B17" s="300"/>
      <c r="C17" s="176"/>
      <c r="D17" s="6" t="s">
        <v>104</v>
      </c>
      <c r="F17" s="301"/>
      <c r="G17" s="302"/>
      <c r="I17" s="301"/>
      <c r="J17" s="222"/>
      <c r="M17" s="301"/>
    </row>
    <row r="18" spans="2:13" ht="14.25" thickBot="1" thickTop="1">
      <c r="B18" s="300" t="s">
        <v>101</v>
      </c>
      <c r="E18" s="3" t="s">
        <v>102</v>
      </c>
      <c r="F18" s="29"/>
      <c r="G18" s="303" t="s">
        <v>268</v>
      </c>
      <c r="H18" s="16">
        <f>VLOOKUP(A$16,H!A$2:L$68,4,FALSE)</f>
        <v>175</v>
      </c>
      <c r="I18" s="17" t="s">
        <v>4</v>
      </c>
      <c r="J18" s="222"/>
      <c r="M18" s="301"/>
    </row>
    <row r="19" spans="2:13" ht="13.5" thickTop="1">
      <c r="B19" s="300"/>
      <c r="C19" s="176"/>
      <c r="F19" s="301"/>
      <c r="G19" s="304" t="s">
        <v>269</v>
      </c>
      <c r="H19" s="10">
        <f>VLOOKUP(A$16,H!A$2:L$68,5,FALSE)</f>
        <v>90</v>
      </c>
      <c r="I19" s="8" t="s">
        <v>4</v>
      </c>
      <c r="J19" s="222"/>
      <c r="K19" s="327" t="s">
        <v>329</v>
      </c>
      <c r="L19" s="306"/>
      <c r="M19" s="307"/>
    </row>
    <row r="20" spans="2:13" ht="12.75">
      <c r="B20" s="300"/>
      <c r="F20" s="301"/>
      <c r="G20" s="304" t="s">
        <v>324</v>
      </c>
      <c r="H20" s="10">
        <f>VLOOKUP(A$16,H!A$2:L$68,6,FALSE)</f>
        <v>5</v>
      </c>
      <c r="I20" s="8" t="s">
        <v>4</v>
      </c>
      <c r="J20" s="220"/>
      <c r="K20" s="308" t="s">
        <v>105</v>
      </c>
      <c r="L20" s="4">
        <f>0.125*H26*D26^2</f>
        <v>20.796875</v>
      </c>
      <c r="M20" s="309" t="s">
        <v>6</v>
      </c>
    </row>
    <row r="21" spans="2:13" ht="12.75">
      <c r="B21" s="21"/>
      <c r="C21" s="3" t="s">
        <v>16</v>
      </c>
      <c r="D21" s="3"/>
      <c r="F21" s="301"/>
      <c r="G21" s="304" t="s">
        <v>325</v>
      </c>
      <c r="H21" s="10">
        <f>VLOOKUP(A$16,H!A$2:L$68,7,FALSE)</f>
        <v>8</v>
      </c>
      <c r="I21" s="8" t="s">
        <v>4</v>
      </c>
      <c r="J21" s="222"/>
      <c r="K21" s="308" t="s">
        <v>328</v>
      </c>
      <c r="L21" s="4">
        <f>0.125*(H22/100)^2</f>
        <v>0.0041405</v>
      </c>
      <c r="M21" s="309" t="s">
        <v>6</v>
      </c>
    </row>
    <row r="22" spans="2:13" ht="12.75">
      <c r="B22" s="2"/>
      <c r="C22" s="1"/>
      <c r="D22" s="1"/>
      <c r="F22" s="301"/>
      <c r="G22" s="304" t="s">
        <v>326</v>
      </c>
      <c r="H22" s="10">
        <f>VLOOKUP(A$16,H!A$2:L$68,10,FALSE)</f>
        <v>18.2</v>
      </c>
      <c r="I22" s="9" t="s">
        <v>91</v>
      </c>
      <c r="J22" s="220"/>
      <c r="K22" s="308" t="s">
        <v>96</v>
      </c>
      <c r="L22" s="4">
        <f>0.5*q*L</f>
        <v>15.125</v>
      </c>
      <c r="M22" s="309" t="s">
        <v>5</v>
      </c>
    </row>
    <row r="23" spans="2:13" ht="13.5">
      <c r="B23" s="2"/>
      <c r="C23" s="12"/>
      <c r="D23" s="1"/>
      <c r="F23" s="301"/>
      <c r="G23" s="304" t="s">
        <v>275</v>
      </c>
      <c r="H23" s="10">
        <f>VLOOKUP(A$16,H!A$2:L$68,11,FALSE)</f>
        <v>1220</v>
      </c>
      <c r="I23" s="9" t="s">
        <v>92</v>
      </c>
      <c r="J23" s="220"/>
      <c r="K23" s="308" t="s">
        <v>95</v>
      </c>
      <c r="L23" s="4">
        <f>0.5*q*L</f>
        <v>15.125</v>
      </c>
      <c r="M23" s="309" t="s">
        <v>5</v>
      </c>
    </row>
    <row r="24" spans="2:13" ht="13.5">
      <c r="B24" s="2"/>
      <c r="C24" s="12"/>
      <c r="D24" s="1"/>
      <c r="F24" s="301"/>
      <c r="G24" s="304" t="s">
        <v>276</v>
      </c>
      <c r="H24" s="10">
        <f>VLOOKUP(A$16,H!A$2:L$68,12,FALSE)</f>
        <v>140</v>
      </c>
      <c r="I24" s="9" t="s">
        <v>18</v>
      </c>
      <c r="J24" s="220"/>
      <c r="K24" s="308" t="s">
        <v>103</v>
      </c>
      <c r="L24" s="4">
        <f>L20+L21</f>
        <v>20.8010155</v>
      </c>
      <c r="M24" s="309" t="s">
        <v>6</v>
      </c>
    </row>
    <row r="25" spans="2:13" ht="13.5" thickBot="1">
      <c r="B25" s="300"/>
      <c r="F25" s="301"/>
      <c r="G25" s="31" t="s">
        <v>327</v>
      </c>
      <c r="H25" s="11">
        <v>206000</v>
      </c>
      <c r="I25" s="18" t="s">
        <v>19</v>
      </c>
      <c r="K25" s="328" t="s">
        <v>330</v>
      </c>
      <c r="L25" s="26">
        <f>L24*10^6/(H24*1000)</f>
        <v>148.57868214285713</v>
      </c>
      <c r="M25" s="314" t="s">
        <v>8</v>
      </c>
    </row>
    <row r="26" spans="2:13" ht="16.5" thickBot="1" thickTop="1">
      <c r="B26" s="300"/>
      <c r="C26" s="322" t="s">
        <v>13</v>
      </c>
      <c r="D26" s="323">
        <f>H27/1000</f>
        <v>5.5</v>
      </c>
      <c r="E26" s="324" t="s">
        <v>10</v>
      </c>
      <c r="G26" s="13" t="s">
        <v>17</v>
      </c>
      <c r="H26" s="22">
        <v>5.5</v>
      </c>
      <c r="I26" s="312" t="s">
        <v>99</v>
      </c>
      <c r="K26" s="328" t="s">
        <v>331</v>
      </c>
      <c r="L26" s="26">
        <f>5*q*H27^4/384/H25/H23/10000</f>
        <v>26.075051592176642</v>
      </c>
      <c r="M26" s="314" t="s">
        <v>12</v>
      </c>
    </row>
    <row r="27" spans="2:13" ht="15.75" thickBot="1">
      <c r="B27" s="315"/>
      <c r="C27" s="325"/>
      <c r="D27" s="326"/>
      <c r="E27" s="321"/>
      <c r="F27" s="319"/>
      <c r="G27" s="15" t="s">
        <v>100</v>
      </c>
      <c r="H27" s="24">
        <v>5500</v>
      </c>
      <c r="I27" s="320" t="s">
        <v>12</v>
      </c>
      <c r="J27" s="321"/>
      <c r="K27" s="329" t="s">
        <v>332</v>
      </c>
      <c r="L27" s="32">
        <f>H27/L26</f>
        <v>210.92959224096714</v>
      </c>
      <c r="M27" s="320"/>
    </row>
    <row r="28" spans="10:11" ht="13.5" thickTop="1">
      <c r="J28" s="299"/>
      <c r="K28" s="296"/>
    </row>
    <row r="29" ht="12.75">
      <c r="J29" s="220"/>
    </row>
    <row r="30" spans="1:15" ht="12.75">
      <c r="A30" s="220"/>
      <c r="B30" s="220"/>
      <c r="C30" s="220"/>
      <c r="D30" s="220"/>
      <c r="E30" s="220"/>
      <c r="F30" s="220"/>
      <c r="G30" s="222"/>
      <c r="H30" s="220"/>
      <c r="I30" s="5"/>
      <c r="J30" s="220"/>
      <c r="K30" s="220"/>
      <c r="L30" s="220"/>
      <c r="M30" s="220"/>
      <c r="N30" s="220"/>
      <c r="O30" s="220"/>
    </row>
    <row r="31" spans="1:15" ht="12.75">
      <c r="A31" s="220"/>
      <c r="B31" s="220"/>
      <c r="C31" s="220"/>
      <c r="D31" s="220"/>
      <c r="E31" s="220"/>
      <c r="F31" s="220"/>
      <c r="G31" s="222"/>
      <c r="H31" s="220"/>
      <c r="I31" s="220"/>
      <c r="J31" s="220"/>
      <c r="K31" s="220"/>
      <c r="L31" s="220"/>
      <c r="M31" s="220"/>
      <c r="N31" s="220"/>
      <c r="O31" s="220"/>
    </row>
    <row r="32" spans="1:15" ht="12.75">
      <c r="A32" s="220"/>
      <c r="B32" s="220"/>
      <c r="C32" s="220"/>
      <c r="D32" s="220"/>
      <c r="E32" s="220"/>
      <c r="F32" s="220"/>
      <c r="G32" s="222"/>
      <c r="H32" s="220"/>
      <c r="I32" s="220"/>
      <c r="J32" s="220"/>
      <c r="K32" s="220"/>
      <c r="L32" s="220"/>
      <c r="M32" s="220"/>
      <c r="N32" s="220"/>
      <c r="O32" s="220"/>
    </row>
    <row r="33" spans="1:15" ht="12.75">
      <c r="A33" s="220"/>
      <c r="B33" s="37"/>
      <c r="C33" s="222"/>
      <c r="D33" s="6"/>
      <c r="E33" s="220"/>
      <c r="F33" s="220"/>
      <c r="G33" s="222"/>
      <c r="H33" s="220"/>
      <c r="I33" s="220"/>
      <c r="J33" s="222"/>
      <c r="K33" s="220"/>
      <c r="L33" s="220"/>
      <c r="M33" s="220"/>
      <c r="N33" s="220"/>
      <c r="O33" s="220"/>
    </row>
    <row r="34" spans="1:15" ht="12.75">
      <c r="A34" s="220"/>
      <c r="B34" s="220"/>
      <c r="C34" s="220"/>
      <c r="D34" s="220"/>
      <c r="E34" s="34"/>
      <c r="F34" s="34"/>
      <c r="G34" s="35"/>
      <c r="H34" s="38"/>
      <c r="I34" s="34"/>
      <c r="J34" s="222"/>
      <c r="K34" s="220"/>
      <c r="L34" s="220"/>
      <c r="M34" s="220"/>
      <c r="N34" s="220"/>
      <c r="O34" s="220"/>
    </row>
    <row r="35" spans="1:15" ht="12.75">
      <c r="A35" s="220"/>
      <c r="B35" s="220"/>
      <c r="C35" s="222"/>
      <c r="D35" s="220"/>
      <c r="E35" s="220"/>
      <c r="F35" s="220"/>
      <c r="G35" s="35"/>
      <c r="H35" s="38"/>
      <c r="I35" s="34"/>
      <c r="J35" s="222"/>
      <c r="K35" s="220"/>
      <c r="L35" s="220"/>
      <c r="M35" s="220"/>
      <c r="N35" s="220"/>
      <c r="O35" s="220"/>
    </row>
    <row r="36" spans="1:15" ht="12.75">
      <c r="A36" s="220"/>
      <c r="B36" s="220"/>
      <c r="C36" s="220"/>
      <c r="D36" s="220"/>
      <c r="E36" s="220"/>
      <c r="F36" s="220"/>
      <c r="G36" s="35"/>
      <c r="H36" s="38"/>
      <c r="I36" s="34"/>
      <c r="J36" s="220"/>
      <c r="K36" s="220"/>
      <c r="L36" s="220"/>
      <c r="M36" s="220"/>
      <c r="N36" s="220"/>
      <c r="O36" s="220"/>
    </row>
    <row r="37" spans="1:15" ht="12.75">
      <c r="A37" s="220"/>
      <c r="B37" s="39"/>
      <c r="C37" s="39"/>
      <c r="D37" s="40"/>
      <c r="E37" s="220"/>
      <c r="F37" s="220"/>
      <c r="G37" s="35"/>
      <c r="H37" s="38"/>
      <c r="I37" s="34"/>
      <c r="J37" s="222"/>
      <c r="K37" s="251"/>
      <c r="L37" s="251"/>
      <c r="M37" s="251"/>
      <c r="N37" s="220"/>
      <c r="O37" s="220"/>
    </row>
    <row r="38" spans="1:15" ht="12.75">
      <c r="A38" s="220"/>
      <c r="B38" s="34"/>
      <c r="C38" s="34"/>
      <c r="D38" s="34"/>
      <c r="E38" s="220"/>
      <c r="F38" s="220"/>
      <c r="G38" s="35"/>
      <c r="H38" s="38"/>
      <c r="I38" s="34"/>
      <c r="J38" s="220"/>
      <c r="K38" s="222"/>
      <c r="L38" s="251"/>
      <c r="M38" s="251"/>
      <c r="N38" s="220"/>
      <c r="O38" s="220"/>
    </row>
    <row r="39" spans="1:15" ht="13.5">
      <c r="A39" s="220"/>
      <c r="B39" s="34"/>
      <c r="C39" s="41"/>
      <c r="D39" s="34"/>
      <c r="E39" s="220"/>
      <c r="F39" s="220"/>
      <c r="G39" s="35"/>
      <c r="H39" s="38"/>
      <c r="I39" s="34"/>
      <c r="J39" s="220"/>
      <c r="K39" s="222"/>
      <c r="L39" s="42"/>
      <c r="M39" s="220"/>
      <c r="N39" s="220"/>
      <c r="O39" s="220"/>
    </row>
    <row r="40" spans="1:15" ht="13.5">
      <c r="A40" s="220"/>
      <c r="B40" s="34"/>
      <c r="C40" s="41"/>
      <c r="D40" s="34"/>
      <c r="E40" s="220"/>
      <c r="F40" s="220"/>
      <c r="G40" s="35"/>
      <c r="H40" s="38"/>
      <c r="I40" s="34"/>
      <c r="J40" s="220"/>
      <c r="K40" s="222"/>
      <c r="L40" s="42"/>
      <c r="M40" s="220"/>
      <c r="N40" s="220"/>
      <c r="O40" s="220"/>
    </row>
    <row r="41" spans="1:15" ht="13.5">
      <c r="A41" s="220"/>
      <c r="B41" s="220"/>
      <c r="C41" s="41"/>
      <c r="D41" s="34"/>
      <c r="E41" s="220"/>
      <c r="F41" s="220"/>
      <c r="G41" s="35"/>
      <c r="H41" s="38"/>
      <c r="I41" s="34"/>
      <c r="J41" s="220"/>
      <c r="K41" s="222"/>
      <c r="L41" s="42"/>
      <c r="M41" s="220"/>
      <c r="N41" s="220"/>
      <c r="O41" s="220"/>
    </row>
    <row r="42" spans="1:15" ht="15">
      <c r="A42" s="220"/>
      <c r="B42" s="220"/>
      <c r="C42" s="220"/>
      <c r="D42" s="220"/>
      <c r="E42" s="220"/>
      <c r="F42" s="220"/>
      <c r="G42" s="35"/>
      <c r="H42" s="43"/>
      <c r="I42" s="220"/>
      <c r="J42" s="220"/>
      <c r="K42" s="222"/>
      <c r="L42" s="42"/>
      <c r="M42" s="220"/>
      <c r="N42" s="220"/>
      <c r="O42" s="220"/>
    </row>
    <row r="43" spans="1:15" ht="15">
      <c r="A43" s="220"/>
      <c r="B43" s="220"/>
      <c r="C43" s="222"/>
      <c r="D43" s="228"/>
      <c r="E43" s="220"/>
      <c r="F43" s="220"/>
      <c r="G43" s="35"/>
      <c r="H43" s="43"/>
      <c r="I43" s="220"/>
      <c r="J43" s="220"/>
      <c r="K43" s="222"/>
      <c r="L43" s="42"/>
      <c r="M43" s="220"/>
      <c r="N43" s="220"/>
      <c r="O43" s="220"/>
    </row>
    <row r="44" spans="1:15" ht="15">
      <c r="A44" s="220"/>
      <c r="B44" s="220"/>
      <c r="C44" s="222"/>
      <c r="D44" s="228"/>
      <c r="E44" s="220"/>
      <c r="F44" s="220"/>
      <c r="G44" s="36"/>
      <c r="H44" s="43"/>
      <c r="I44" s="220"/>
      <c r="J44" s="220"/>
      <c r="K44" s="222"/>
      <c r="L44" s="44"/>
      <c r="M44" s="220"/>
      <c r="N44" s="220"/>
      <c r="O44" s="220"/>
    </row>
    <row r="45" spans="1:15" ht="15">
      <c r="A45" s="220"/>
      <c r="B45" s="220"/>
      <c r="C45" s="222"/>
      <c r="D45" s="228"/>
      <c r="E45" s="220"/>
      <c r="F45" s="220"/>
      <c r="G45" s="36"/>
      <c r="H45" s="43"/>
      <c r="I45" s="220"/>
      <c r="J45" s="220"/>
      <c r="K45" s="222"/>
      <c r="L45" s="44"/>
      <c r="M45" s="220"/>
      <c r="N45" s="220"/>
      <c r="O45" s="220"/>
    </row>
    <row r="46" spans="1:15" ht="15">
      <c r="A46" s="220"/>
      <c r="B46" s="220"/>
      <c r="C46" s="222"/>
      <c r="D46" s="228"/>
      <c r="E46" s="220"/>
      <c r="F46" s="220"/>
      <c r="G46" s="36"/>
      <c r="H46" s="43"/>
      <c r="I46" s="220"/>
      <c r="J46" s="220"/>
      <c r="K46" s="222"/>
      <c r="L46" s="45"/>
      <c r="M46" s="220"/>
      <c r="N46" s="220"/>
      <c r="O46" s="220"/>
    </row>
    <row r="47" spans="1:15" ht="12.75">
      <c r="A47" s="220"/>
      <c r="B47" s="220"/>
      <c r="C47" s="220"/>
      <c r="D47" s="220"/>
      <c r="E47" s="220"/>
      <c r="F47" s="220"/>
      <c r="G47" s="222"/>
      <c r="H47" s="220"/>
      <c r="I47" s="220"/>
      <c r="J47" s="220"/>
      <c r="K47" s="220"/>
      <c r="L47" s="220"/>
      <c r="M47" s="220"/>
      <c r="N47" s="220"/>
      <c r="O47" s="220"/>
    </row>
    <row r="48" spans="1:15" ht="12.75">
      <c r="A48" s="220"/>
      <c r="B48" s="220"/>
      <c r="C48" s="220"/>
      <c r="D48" s="220"/>
      <c r="E48" s="220"/>
      <c r="F48" s="220"/>
      <c r="G48" s="222"/>
      <c r="H48" s="220"/>
      <c r="I48" s="220"/>
      <c r="J48" s="220"/>
      <c r="K48" s="220"/>
      <c r="L48" s="220"/>
      <c r="M48" s="220"/>
      <c r="N48" s="220"/>
      <c r="O48" s="220"/>
    </row>
    <row r="49" spans="1:15" ht="12.75">
      <c r="A49" s="220"/>
      <c r="B49" s="220"/>
      <c r="C49" s="220"/>
      <c r="D49" s="220"/>
      <c r="E49" s="220"/>
      <c r="F49" s="220"/>
      <c r="G49" s="222"/>
      <c r="H49" s="220"/>
      <c r="I49" s="220"/>
      <c r="J49" s="220"/>
      <c r="K49" s="220"/>
      <c r="L49" s="220"/>
      <c r="M49" s="220"/>
      <c r="N49" s="220"/>
      <c r="O49" s="220"/>
    </row>
  </sheetData>
  <sheetProtection password="F3E5" sheet="1" objects="1" scenarios="1" selectLockedCells="1"/>
  <mergeCells count="3">
    <mergeCell ref="B7:C7"/>
    <mergeCell ref="K6:M6"/>
    <mergeCell ref="B1:D1"/>
  </mergeCells>
  <hyperlinks>
    <hyperlink ref="B1" r:id="rId1" display="www.machinemfg.com"/>
  </hyperlinks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/>
  <dimension ref="A1:O56"/>
  <sheetViews>
    <sheetView showGridLines="0" tabSelected="1" zoomScalePageLayoutView="0" workbookViewId="0" topLeftCell="A1">
      <selection activeCell="H12" sqref="H12"/>
    </sheetView>
  </sheetViews>
  <sheetFormatPr defaultColWidth="9.140625" defaultRowHeight="12.75"/>
  <cols>
    <col min="1" max="1" width="3.57421875" style="141" customWidth="1"/>
    <col min="2" max="5" width="8.8515625" style="141" customWidth="1"/>
    <col min="6" max="6" width="3.7109375" style="141" customWidth="1"/>
    <col min="7" max="7" width="30.140625" style="141" customWidth="1"/>
    <col min="8" max="8" width="11.140625" style="141" bestFit="1" customWidth="1"/>
    <col min="9" max="9" width="8.8515625" style="141" customWidth="1"/>
    <col min="10" max="10" width="5.421875" style="141" customWidth="1"/>
    <col min="11" max="11" width="17.28125" style="141" customWidth="1"/>
    <col min="12" max="16384" width="8.8515625" style="141" customWidth="1"/>
  </cols>
  <sheetData>
    <row r="1" spans="1:15" ht="13.5" thickBot="1">
      <c r="A1" s="25">
        <v>30</v>
      </c>
      <c r="B1" s="405" t="s">
        <v>366</v>
      </c>
      <c r="C1" s="405"/>
      <c r="D1" s="405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</row>
    <row r="2" spans="1:15" ht="13.5" thickTop="1">
      <c r="A2" s="220"/>
      <c r="B2" s="295"/>
      <c r="C2" s="296"/>
      <c r="D2" s="296"/>
      <c r="E2" s="296"/>
      <c r="F2" s="295"/>
      <c r="G2" s="298"/>
      <c r="H2" s="296"/>
      <c r="I2" s="297"/>
      <c r="J2" s="299"/>
      <c r="K2" s="296"/>
      <c r="L2" s="296"/>
      <c r="M2" s="297"/>
      <c r="N2" s="220"/>
      <c r="O2" s="220"/>
    </row>
    <row r="3" spans="1:15" ht="13.5" thickBot="1">
      <c r="A3" s="220"/>
      <c r="B3" s="300"/>
      <c r="C3" s="287" t="s">
        <v>106</v>
      </c>
      <c r="D3" s="6"/>
      <c r="E3" s="180"/>
      <c r="F3" s="300"/>
      <c r="G3" s="330"/>
      <c r="H3" s="331"/>
      <c r="I3" s="332"/>
      <c r="J3" s="222"/>
      <c r="K3" s="180"/>
      <c r="L3" s="180"/>
      <c r="M3" s="301"/>
      <c r="N3" s="220"/>
      <c r="O3" s="220"/>
    </row>
    <row r="4" spans="1:15" ht="13.5" thickTop="1">
      <c r="A4" s="220"/>
      <c r="B4" s="300"/>
      <c r="C4" s="180"/>
      <c r="D4" s="180"/>
      <c r="E4" s="1"/>
      <c r="F4" s="2"/>
      <c r="G4" s="303" t="s">
        <v>268</v>
      </c>
      <c r="H4" s="10">
        <f>VLOOKUP(A$1,H!A$2:L$68,4,FALSE)</f>
        <v>482</v>
      </c>
      <c r="I4" s="8" t="s">
        <v>4</v>
      </c>
      <c r="J4" s="222"/>
      <c r="K4" s="180"/>
      <c r="L4" s="180"/>
      <c r="M4" s="301"/>
      <c r="N4" s="220"/>
      <c r="O4" s="220"/>
    </row>
    <row r="5" spans="1:15" ht="13.5" thickBot="1">
      <c r="A5" s="220"/>
      <c r="B5" s="300"/>
      <c r="C5" s="176"/>
      <c r="D5" s="180"/>
      <c r="E5" s="180"/>
      <c r="F5" s="300"/>
      <c r="G5" s="304" t="s">
        <v>269</v>
      </c>
      <c r="H5" s="10">
        <f>VLOOKUP(A$1,H!A$2:L$68,5,FALSE)</f>
        <v>300</v>
      </c>
      <c r="I5" s="8" t="s">
        <v>4</v>
      </c>
      <c r="J5" s="222"/>
      <c r="K5" s="180"/>
      <c r="L5" s="180"/>
      <c r="M5" s="305"/>
      <c r="N5" s="220"/>
      <c r="O5" s="220"/>
    </row>
    <row r="6" spans="1:15" ht="13.5" thickTop="1">
      <c r="A6" s="220"/>
      <c r="B6" s="333" t="s">
        <v>109</v>
      </c>
      <c r="C6" s="180"/>
      <c r="D6" s="180" t="s">
        <v>107</v>
      </c>
      <c r="E6" s="180"/>
      <c r="F6" s="300"/>
      <c r="G6" s="304" t="s">
        <v>324</v>
      </c>
      <c r="H6" s="10">
        <f>VLOOKUP(A$1,H!A$2:L$68,6,FALSE)</f>
        <v>11</v>
      </c>
      <c r="I6" s="8" t="s">
        <v>4</v>
      </c>
      <c r="J6" s="220"/>
      <c r="K6" s="401" t="s">
        <v>329</v>
      </c>
      <c r="L6" s="402"/>
      <c r="M6" s="403"/>
      <c r="N6" s="220"/>
      <c r="O6" s="220"/>
    </row>
    <row r="7" spans="1:15" ht="12.75">
      <c r="A7" s="220"/>
      <c r="B7" s="399"/>
      <c r="C7" s="400"/>
      <c r="D7" s="3"/>
      <c r="E7" s="180"/>
      <c r="F7" s="300"/>
      <c r="G7" s="304" t="s">
        <v>325</v>
      </c>
      <c r="H7" s="10">
        <f>VLOOKUP(A$1,H!A$2:L$68,7,FALSE)</f>
        <v>15</v>
      </c>
      <c r="I7" s="8" t="s">
        <v>4</v>
      </c>
      <c r="J7" s="222"/>
      <c r="K7" s="308" t="s">
        <v>98</v>
      </c>
      <c r="L7" s="4">
        <f>H12*D13</f>
        <v>40</v>
      </c>
      <c r="M7" s="309" t="s">
        <v>6</v>
      </c>
      <c r="N7" s="220"/>
      <c r="O7" s="220"/>
    </row>
    <row r="8" spans="1:15" ht="12.75">
      <c r="A8" s="220"/>
      <c r="B8" s="2"/>
      <c r="C8" s="1"/>
      <c r="D8" s="1"/>
      <c r="E8" s="180"/>
      <c r="F8" s="300"/>
      <c r="G8" s="304" t="s">
        <v>326</v>
      </c>
      <c r="H8" s="10">
        <f>VLOOKUP(A$1,H!A$2:L$68,10,FALSE)</f>
        <v>115</v>
      </c>
      <c r="I8" s="9" t="s">
        <v>91</v>
      </c>
      <c r="J8" s="220"/>
      <c r="K8" s="308" t="s">
        <v>333</v>
      </c>
      <c r="L8" s="4">
        <f>0.5*(H8/100)*D14^2</f>
        <v>2.3</v>
      </c>
      <c r="M8" s="309" t="s">
        <v>6</v>
      </c>
      <c r="N8" s="220"/>
      <c r="O8" s="220"/>
    </row>
    <row r="9" spans="1:15" ht="13.5">
      <c r="A9" s="220"/>
      <c r="B9" s="2"/>
      <c r="C9" s="12" t="s">
        <v>108</v>
      </c>
      <c r="D9" s="1"/>
      <c r="E9" s="180"/>
      <c r="F9" s="300"/>
      <c r="G9" s="304" t="s">
        <v>275</v>
      </c>
      <c r="H9" s="10">
        <f>VLOOKUP(A$1,H!A$2:L$68,11,FALSE)</f>
        <v>60800</v>
      </c>
      <c r="I9" s="9" t="s">
        <v>92</v>
      </c>
      <c r="J9" s="220"/>
      <c r="K9" s="308" t="s">
        <v>96</v>
      </c>
      <c r="L9" s="4">
        <f>H12</f>
        <v>20</v>
      </c>
      <c r="M9" s="309" t="s">
        <v>5</v>
      </c>
      <c r="N9" s="220"/>
      <c r="O9" s="220"/>
    </row>
    <row r="10" spans="1:15" ht="13.5">
      <c r="A10" s="220"/>
      <c r="B10" s="2"/>
      <c r="C10" s="12"/>
      <c r="D10" s="1"/>
      <c r="E10" s="180"/>
      <c r="F10" s="300"/>
      <c r="G10" s="304" t="s">
        <v>276</v>
      </c>
      <c r="H10" s="10">
        <f>VLOOKUP(A$1,H!A$2:L$68,12,FALSE)</f>
        <v>2520</v>
      </c>
      <c r="I10" s="9" t="s">
        <v>18</v>
      </c>
      <c r="J10" s="220"/>
      <c r="K10" s="313"/>
      <c r="L10" s="19"/>
      <c r="M10" s="314"/>
      <c r="N10" s="220"/>
      <c r="O10" s="220"/>
    </row>
    <row r="11" spans="1:15" ht="13.5" thickBot="1">
      <c r="A11" s="220"/>
      <c r="B11" s="300"/>
      <c r="C11" s="331"/>
      <c r="D11" s="331"/>
      <c r="E11" s="331"/>
      <c r="F11" s="300"/>
      <c r="G11" s="31" t="s">
        <v>327</v>
      </c>
      <c r="H11" s="10">
        <v>206000</v>
      </c>
      <c r="I11" s="8" t="s">
        <v>19</v>
      </c>
      <c r="J11" s="180"/>
      <c r="K11" s="308" t="s">
        <v>14</v>
      </c>
      <c r="L11" s="4">
        <f>L7+L8</f>
        <v>42.3</v>
      </c>
      <c r="M11" s="309" t="s">
        <v>6</v>
      </c>
      <c r="N11" s="220"/>
      <c r="O11" s="220"/>
    </row>
    <row r="12" spans="1:15" ht="15.75" thickTop="1">
      <c r="A12" s="220"/>
      <c r="B12" s="300"/>
      <c r="C12" s="334" t="s">
        <v>9</v>
      </c>
      <c r="D12" s="335">
        <f>H13/1000</f>
        <v>0</v>
      </c>
      <c r="E12" s="336" t="s">
        <v>10</v>
      </c>
      <c r="F12" s="300"/>
      <c r="G12" s="27" t="s">
        <v>2</v>
      </c>
      <c r="H12" s="23">
        <v>20</v>
      </c>
      <c r="I12" s="309" t="s">
        <v>5</v>
      </c>
      <c r="J12" s="220"/>
      <c r="K12" s="328" t="s">
        <v>330</v>
      </c>
      <c r="L12" s="26">
        <f>L7*10^6/(H10*1000)</f>
        <v>15.873015873015873</v>
      </c>
      <c r="M12" s="314" t="s">
        <v>8</v>
      </c>
      <c r="N12" s="220"/>
      <c r="O12" s="220"/>
    </row>
    <row r="13" spans="1:15" ht="15">
      <c r="A13" s="220"/>
      <c r="B13" s="300"/>
      <c r="C13" s="313" t="s">
        <v>11</v>
      </c>
      <c r="D13" s="191">
        <f>H14/1000</f>
        <v>2</v>
      </c>
      <c r="E13" s="337" t="s">
        <v>10</v>
      </c>
      <c r="F13" s="300"/>
      <c r="G13" s="14" t="s">
        <v>9</v>
      </c>
      <c r="H13" s="23">
        <v>0</v>
      </c>
      <c r="I13" s="309" t="s">
        <v>12</v>
      </c>
      <c r="J13" s="220"/>
      <c r="K13" s="328" t="s">
        <v>331</v>
      </c>
      <c r="L13" s="26">
        <f>H12*1000*H14^2*(3*H13+2*H14)/6/H11/H9/10000</f>
        <v>0.42582183614375746</v>
      </c>
      <c r="M13" s="314" t="s">
        <v>12</v>
      </c>
      <c r="N13" s="220"/>
      <c r="O13" s="220"/>
    </row>
    <row r="14" spans="1:15" ht="15.75" thickBot="1">
      <c r="A14" s="220"/>
      <c r="B14" s="315"/>
      <c r="C14" s="338" t="s">
        <v>93</v>
      </c>
      <c r="D14" s="317">
        <f>D12+D13</f>
        <v>2</v>
      </c>
      <c r="E14" s="339" t="s">
        <v>10</v>
      </c>
      <c r="F14" s="300"/>
      <c r="G14" s="15" t="s">
        <v>11</v>
      </c>
      <c r="H14" s="24">
        <v>2000</v>
      </c>
      <c r="I14" s="320" t="s">
        <v>12</v>
      </c>
      <c r="J14" s="321"/>
      <c r="K14" s="329" t="s">
        <v>332</v>
      </c>
      <c r="L14" s="32">
        <f>2*D14*1000/L13</f>
        <v>9393.6</v>
      </c>
      <c r="M14" s="320"/>
      <c r="N14" s="220"/>
      <c r="O14" s="220"/>
    </row>
    <row r="15" spans="1:15" ht="14.25" thickBot="1" thickTop="1">
      <c r="A15" s="220"/>
      <c r="B15" s="220"/>
      <c r="C15" s="220"/>
      <c r="D15" s="220"/>
      <c r="E15" s="220"/>
      <c r="F15" s="325"/>
      <c r="G15" s="220"/>
      <c r="H15" s="220"/>
      <c r="I15" s="220"/>
      <c r="J15" s="220"/>
      <c r="K15" s="220"/>
      <c r="L15" s="220"/>
      <c r="M15" s="220"/>
      <c r="N15" s="220"/>
      <c r="O15" s="220"/>
    </row>
    <row r="16" spans="1:15" ht="13.5" thickTop="1">
      <c r="A16" s="25">
        <v>64</v>
      </c>
      <c r="B16" s="295"/>
      <c r="C16" s="296"/>
      <c r="D16" s="296"/>
      <c r="E16" s="296"/>
      <c r="F16" s="297"/>
      <c r="G16" s="298"/>
      <c r="H16" s="296"/>
      <c r="I16" s="297"/>
      <c r="J16" s="299"/>
      <c r="K16" s="296"/>
      <c r="L16" s="296"/>
      <c r="M16" s="297"/>
      <c r="N16" s="220"/>
      <c r="O16" s="220"/>
    </row>
    <row r="17" spans="1:15" ht="13.5" thickBot="1">
      <c r="A17" s="220"/>
      <c r="B17" s="340" t="s">
        <v>110</v>
      </c>
      <c r="C17" s="176"/>
      <c r="D17" s="6"/>
      <c r="E17" s="180"/>
      <c r="F17" s="301"/>
      <c r="G17" s="302"/>
      <c r="H17" s="180"/>
      <c r="I17" s="301"/>
      <c r="J17" s="222"/>
      <c r="K17" s="180"/>
      <c r="L17" s="180"/>
      <c r="M17" s="301"/>
      <c r="N17" s="220"/>
      <c r="O17" s="220"/>
    </row>
    <row r="18" spans="1:15" ht="14.25" thickBot="1" thickTop="1">
      <c r="A18" s="220"/>
      <c r="B18" s="300"/>
      <c r="C18" s="180"/>
      <c r="D18" s="180"/>
      <c r="E18" s="1"/>
      <c r="F18" s="29"/>
      <c r="G18" s="303" t="s">
        <v>268</v>
      </c>
      <c r="H18" s="16">
        <f>VLOOKUP(A$16,H!A$2:L$68,4,FALSE)</f>
        <v>800</v>
      </c>
      <c r="I18" s="17" t="s">
        <v>4</v>
      </c>
      <c r="J18" s="222"/>
      <c r="K18" s="180"/>
      <c r="L18" s="180"/>
      <c r="M18" s="305"/>
      <c r="N18" s="220"/>
      <c r="O18" s="220"/>
    </row>
    <row r="19" spans="1:15" ht="13.5" thickTop="1">
      <c r="A19" s="220"/>
      <c r="B19" s="300"/>
      <c r="C19" s="176"/>
      <c r="D19" s="180"/>
      <c r="E19" s="180"/>
      <c r="F19" s="301"/>
      <c r="G19" s="304" t="s">
        <v>269</v>
      </c>
      <c r="H19" s="10">
        <f>VLOOKUP(A$16,H!A$2:L$68,5,FALSE)</f>
        <v>300</v>
      </c>
      <c r="I19" s="8" t="s">
        <v>4</v>
      </c>
      <c r="J19" s="222"/>
      <c r="K19" s="401" t="s">
        <v>329</v>
      </c>
      <c r="L19" s="402"/>
      <c r="M19" s="403"/>
      <c r="N19" s="220"/>
      <c r="O19" s="220"/>
    </row>
    <row r="20" spans="1:15" ht="12.75">
      <c r="A20" s="220"/>
      <c r="B20" s="300"/>
      <c r="C20" s="180"/>
      <c r="D20" s="180"/>
      <c r="E20" s="180"/>
      <c r="F20" s="301"/>
      <c r="G20" s="304" t="s">
        <v>324</v>
      </c>
      <c r="H20" s="10">
        <f>VLOOKUP(A$16,H!A$2:L$68,6,FALSE)</f>
        <v>14</v>
      </c>
      <c r="I20" s="8" t="s">
        <v>4</v>
      </c>
      <c r="J20" s="220"/>
      <c r="K20" s="308" t="s">
        <v>98</v>
      </c>
      <c r="L20" s="4">
        <f>0.5*(H22/100)*D26^2</f>
        <v>9.450000000000001</v>
      </c>
      <c r="M20" s="309" t="s">
        <v>6</v>
      </c>
      <c r="N20" s="220"/>
      <c r="O20" s="220"/>
    </row>
    <row r="21" spans="1:15" ht="12.75">
      <c r="A21" s="220"/>
      <c r="B21" s="399"/>
      <c r="C21" s="400"/>
      <c r="D21" s="3"/>
      <c r="E21" s="180"/>
      <c r="F21" s="301"/>
      <c r="G21" s="304" t="s">
        <v>325</v>
      </c>
      <c r="H21" s="10">
        <f>VLOOKUP(A$16,H!A$2:L$68,7,FALSE)</f>
        <v>26</v>
      </c>
      <c r="I21" s="8" t="s">
        <v>4</v>
      </c>
      <c r="J21" s="222"/>
      <c r="K21" s="308" t="s">
        <v>328</v>
      </c>
      <c r="L21" s="4">
        <f>0.125*(H22/100)*D26^2</f>
        <v>2.3625000000000003</v>
      </c>
      <c r="M21" s="309" t="s">
        <v>6</v>
      </c>
      <c r="N21" s="220"/>
      <c r="O21" s="220"/>
    </row>
    <row r="22" spans="1:15" ht="12.75">
      <c r="A22" s="220"/>
      <c r="B22" s="2"/>
      <c r="C22" s="3" t="s">
        <v>108</v>
      </c>
      <c r="D22" s="1"/>
      <c r="E22" s="180"/>
      <c r="F22" s="301"/>
      <c r="G22" s="304" t="s">
        <v>326</v>
      </c>
      <c r="H22" s="10">
        <f>VLOOKUP(A$16,H!A$2:L$68,10,FALSE)</f>
        <v>210</v>
      </c>
      <c r="I22" s="9" t="s">
        <v>91</v>
      </c>
      <c r="J22" s="220"/>
      <c r="K22" s="308" t="s">
        <v>96</v>
      </c>
      <c r="L22" s="4">
        <f>H26*D26</f>
        <v>150</v>
      </c>
      <c r="M22" s="309" t="s">
        <v>5</v>
      </c>
      <c r="N22" s="220"/>
      <c r="O22" s="220"/>
    </row>
    <row r="23" spans="1:15" ht="13.5">
      <c r="A23" s="220"/>
      <c r="B23" s="2"/>
      <c r="C23" s="12"/>
      <c r="D23" s="1"/>
      <c r="E23" s="180"/>
      <c r="F23" s="301"/>
      <c r="G23" s="304" t="s">
        <v>275</v>
      </c>
      <c r="H23" s="10">
        <f>VLOOKUP(A$16,H!A$2:L$68,11,FALSE)</f>
        <v>292000</v>
      </c>
      <c r="I23" s="9" t="s">
        <v>92</v>
      </c>
      <c r="J23" s="220"/>
      <c r="K23" s="313"/>
      <c r="L23" s="19"/>
      <c r="M23" s="314"/>
      <c r="N23" s="220"/>
      <c r="O23" s="220"/>
    </row>
    <row r="24" spans="1:15" ht="13.5">
      <c r="A24" s="220"/>
      <c r="B24" s="2"/>
      <c r="C24" s="12"/>
      <c r="D24" s="1"/>
      <c r="E24" s="180"/>
      <c r="F24" s="301"/>
      <c r="G24" s="304" t="s">
        <v>276</v>
      </c>
      <c r="H24" s="10">
        <f>VLOOKUP(A$16,H!A$2:L$68,12,FALSE)</f>
        <v>7290</v>
      </c>
      <c r="I24" s="9" t="s">
        <v>18</v>
      </c>
      <c r="J24" s="220"/>
      <c r="K24" s="308" t="s">
        <v>14</v>
      </c>
      <c r="L24" s="4">
        <f>L20+L21</f>
        <v>11.812500000000002</v>
      </c>
      <c r="M24" s="309" t="s">
        <v>6</v>
      </c>
      <c r="N24" s="220"/>
      <c r="O24" s="220"/>
    </row>
    <row r="25" spans="1:15" ht="13.5" thickBot="1">
      <c r="A25" s="220"/>
      <c r="B25" s="300"/>
      <c r="C25" s="180"/>
      <c r="D25" s="180"/>
      <c r="E25" s="180"/>
      <c r="F25" s="301"/>
      <c r="G25" s="31" t="s">
        <v>327</v>
      </c>
      <c r="H25" s="11">
        <v>206000</v>
      </c>
      <c r="I25" s="18" t="s">
        <v>19</v>
      </c>
      <c r="J25" s="180"/>
      <c r="K25" s="328" t="s">
        <v>330</v>
      </c>
      <c r="L25" s="26">
        <f>L20*10^6/(H24*1000)</f>
        <v>1.2962962962962965</v>
      </c>
      <c r="M25" s="314" t="s">
        <v>8</v>
      </c>
      <c r="N25" s="220"/>
      <c r="O25" s="220"/>
    </row>
    <row r="26" spans="2:13" ht="16.5" thickBot="1" thickTop="1">
      <c r="B26" s="300"/>
      <c r="C26" s="341" t="s">
        <v>93</v>
      </c>
      <c r="D26" s="323">
        <f>H27/1000</f>
        <v>3</v>
      </c>
      <c r="E26" s="342" t="s">
        <v>10</v>
      </c>
      <c r="F26" s="180"/>
      <c r="G26" s="13" t="s">
        <v>111</v>
      </c>
      <c r="H26" s="22">
        <v>50</v>
      </c>
      <c r="I26" s="312" t="s">
        <v>99</v>
      </c>
      <c r="J26" s="220"/>
      <c r="K26" s="328" t="s">
        <v>331</v>
      </c>
      <c r="L26" s="26">
        <f>H26*H27^4/8/H25/H23/10000</f>
        <v>0.8416179013166644</v>
      </c>
      <c r="M26" s="314" t="s">
        <v>12</v>
      </c>
    </row>
    <row r="27" spans="2:13" ht="15.75" thickBot="1">
      <c r="B27" s="315"/>
      <c r="C27" s="319"/>
      <c r="D27" s="319"/>
      <c r="E27" s="319"/>
      <c r="F27" s="319"/>
      <c r="G27" s="15" t="s">
        <v>13</v>
      </c>
      <c r="H27" s="24">
        <v>3000</v>
      </c>
      <c r="I27" s="320" t="s">
        <v>12</v>
      </c>
      <c r="J27" s="321"/>
      <c r="K27" s="329" t="s">
        <v>332</v>
      </c>
      <c r="L27" s="32">
        <f>H27*2/L26</f>
        <v>7129.125925925927</v>
      </c>
      <c r="M27" s="320"/>
    </row>
    <row r="28" spans="1:11" ht="13.5" thickTop="1">
      <c r="A28" s="180"/>
      <c r="B28" s="296"/>
      <c r="C28" s="180"/>
      <c r="D28" s="180"/>
      <c r="E28" s="180"/>
      <c r="F28" s="180"/>
      <c r="G28" s="180"/>
      <c r="H28" s="180"/>
      <c r="I28" s="180"/>
      <c r="J28" s="220"/>
      <c r="K28" s="180"/>
    </row>
    <row r="31" ht="13.5" thickBot="1"/>
    <row r="32" spans="1:13" ht="13.5" thickTop="1">
      <c r="A32" s="33">
        <v>41</v>
      </c>
      <c r="B32" s="295"/>
      <c r="C32" s="296"/>
      <c r="D32" s="296"/>
      <c r="E32" s="296"/>
      <c r="F32" s="297"/>
      <c r="G32" s="298"/>
      <c r="H32" s="296"/>
      <c r="I32" s="297"/>
      <c r="J32" s="299"/>
      <c r="K32" s="296"/>
      <c r="L32" s="296"/>
      <c r="M32" s="297"/>
    </row>
    <row r="33" spans="2:13" ht="13.5" thickBot="1">
      <c r="B33" s="340" t="s">
        <v>117</v>
      </c>
      <c r="C33" s="176"/>
      <c r="D33" s="6"/>
      <c r="E33" s="180"/>
      <c r="F33" s="301"/>
      <c r="G33" s="302"/>
      <c r="H33" s="180"/>
      <c r="I33" s="301"/>
      <c r="J33" s="222"/>
      <c r="K33" s="180"/>
      <c r="L33" s="180"/>
      <c r="M33" s="301"/>
    </row>
    <row r="34" spans="2:13" ht="14.25" thickBot="1" thickTop="1">
      <c r="B34" s="300"/>
      <c r="C34" s="180"/>
      <c r="D34" s="180"/>
      <c r="E34" s="1"/>
      <c r="F34" s="29"/>
      <c r="G34" s="303" t="s">
        <v>268</v>
      </c>
      <c r="H34" s="16">
        <f>VLOOKUP(A32,H!A$2:L$68,4,FALSE)</f>
        <v>200</v>
      </c>
      <c r="I34" s="17" t="s">
        <v>4</v>
      </c>
      <c r="J34" s="222"/>
      <c r="K34" s="180"/>
      <c r="L34" s="180"/>
      <c r="M34" s="305"/>
    </row>
    <row r="35" spans="2:13" ht="13.5" thickTop="1">
      <c r="B35" s="300"/>
      <c r="C35" s="176"/>
      <c r="D35" s="180"/>
      <c r="E35" s="180"/>
      <c r="F35" s="301"/>
      <c r="G35" s="304" t="s">
        <v>269</v>
      </c>
      <c r="H35" s="10">
        <f>VLOOKUP(A32,H!A$2:L$68,5,FALSE)</f>
        <v>100</v>
      </c>
      <c r="I35" s="8" t="s">
        <v>4</v>
      </c>
      <c r="J35" s="222"/>
      <c r="K35" s="401" t="s">
        <v>329</v>
      </c>
      <c r="L35" s="402"/>
      <c r="M35" s="403"/>
    </row>
    <row r="36" spans="2:13" ht="12.75">
      <c r="B36" s="300"/>
      <c r="C36" s="180"/>
      <c r="D36" s="180"/>
      <c r="E36" s="180"/>
      <c r="F36" s="301"/>
      <c r="G36" s="304" t="s">
        <v>324</v>
      </c>
      <c r="H36" s="10">
        <f>VLOOKUP(A32,H!A$2:L$68,6,FALSE)</f>
        <v>5.5</v>
      </c>
      <c r="I36" s="8" t="s">
        <v>4</v>
      </c>
      <c r="J36" s="220"/>
      <c r="K36" s="308" t="s">
        <v>98</v>
      </c>
      <c r="L36" s="4">
        <f>(H43+1)/2*H42*H43</f>
        <v>375</v>
      </c>
      <c r="M36" s="309" t="s">
        <v>6</v>
      </c>
    </row>
    <row r="37" spans="2:13" ht="12.75">
      <c r="B37" s="28" t="s">
        <v>112</v>
      </c>
      <c r="C37" s="30" t="s">
        <v>114</v>
      </c>
      <c r="D37" s="3" t="s">
        <v>115</v>
      </c>
      <c r="E37" s="180"/>
      <c r="F37" s="301"/>
      <c r="G37" s="304" t="s">
        <v>325</v>
      </c>
      <c r="H37" s="10">
        <f>VLOOKUP(A32,H!A$2:L$68,7,FALSE)</f>
        <v>8</v>
      </c>
      <c r="I37" s="8" t="s">
        <v>4</v>
      </c>
      <c r="J37" s="222"/>
      <c r="K37" s="308" t="s">
        <v>333</v>
      </c>
      <c r="L37" s="4">
        <f>0.125*(H38/100)*D43^2</f>
        <v>2.7125</v>
      </c>
      <c r="M37" s="309" t="s">
        <v>6</v>
      </c>
    </row>
    <row r="38" spans="2:13" ht="12.75">
      <c r="B38" s="2"/>
      <c r="C38" s="3"/>
      <c r="D38" s="1"/>
      <c r="E38" s="180"/>
      <c r="F38" s="301"/>
      <c r="G38" s="304" t="s">
        <v>326</v>
      </c>
      <c r="H38" s="10">
        <f>VLOOKUP(A32,H!A$2:L$68,10,FALSE)</f>
        <v>21.7</v>
      </c>
      <c r="I38" s="9" t="s">
        <v>91</v>
      </c>
      <c r="J38" s="220"/>
      <c r="K38" s="308" t="s">
        <v>96</v>
      </c>
      <c r="L38" s="4">
        <f>H43*H42</f>
        <v>125</v>
      </c>
      <c r="M38" s="309" t="s">
        <v>5</v>
      </c>
    </row>
    <row r="39" spans="2:13" ht="13.5">
      <c r="B39" s="2"/>
      <c r="C39" s="12" t="s">
        <v>113</v>
      </c>
      <c r="D39" s="1"/>
      <c r="E39" s="180"/>
      <c r="F39" s="301"/>
      <c r="G39" s="304" t="s">
        <v>275</v>
      </c>
      <c r="H39" s="10">
        <f>VLOOKUP(A32,H!A$2:L$68,11,FALSE)</f>
        <v>1880</v>
      </c>
      <c r="I39" s="9" t="s">
        <v>92</v>
      </c>
      <c r="J39" s="220"/>
      <c r="K39" s="313"/>
      <c r="L39" s="19"/>
      <c r="M39" s="314"/>
    </row>
    <row r="40" spans="2:13" ht="13.5">
      <c r="B40" s="2"/>
      <c r="C40" s="12"/>
      <c r="D40" s="1"/>
      <c r="E40" s="180"/>
      <c r="F40" s="301"/>
      <c r="G40" s="304" t="s">
        <v>276</v>
      </c>
      <c r="H40" s="10">
        <f>VLOOKUP(A32,H!A$2:L$68,12,FALSE)</f>
        <v>188</v>
      </c>
      <c r="I40" s="9" t="s">
        <v>18</v>
      </c>
      <c r="J40" s="220"/>
      <c r="K40" s="308" t="s">
        <v>14</v>
      </c>
      <c r="L40" s="4">
        <f>L36+L37</f>
        <v>377.7125</v>
      </c>
      <c r="M40" s="309" t="s">
        <v>6</v>
      </c>
    </row>
    <row r="41" spans="2:13" ht="13.5" thickBot="1">
      <c r="B41" s="300"/>
      <c r="F41" s="301"/>
      <c r="G41" s="31" t="s">
        <v>327</v>
      </c>
      <c r="H41" s="11">
        <v>206000</v>
      </c>
      <c r="I41" s="18" t="s">
        <v>19</v>
      </c>
      <c r="J41" s="180"/>
      <c r="K41" s="328" t="s">
        <v>330</v>
      </c>
      <c r="L41" s="26">
        <f>L40*10^6/(H40*1000)</f>
        <v>2009.1090425531916</v>
      </c>
      <c r="M41" s="314" t="s">
        <v>8</v>
      </c>
    </row>
    <row r="42" spans="2:13" ht="15.75" thickTop="1">
      <c r="B42" s="300"/>
      <c r="C42" s="156" t="s">
        <v>116</v>
      </c>
      <c r="D42" s="343">
        <v>2</v>
      </c>
      <c r="E42" s="157" t="s">
        <v>10</v>
      </c>
      <c r="F42" s="180"/>
      <c r="G42" s="13" t="s">
        <v>118</v>
      </c>
      <c r="H42" s="22">
        <v>25</v>
      </c>
      <c r="I42" s="312" t="s">
        <v>119</v>
      </c>
      <c r="J42" s="220"/>
      <c r="K42" s="328" t="s">
        <v>331</v>
      </c>
      <c r="L42" s="26">
        <f>(3*H43^2+4*H43+1)/24/H43/H41/H39/10^4*H42*1000*(D43*1000)^3</f>
        <v>5164.222268126421</v>
      </c>
      <c r="M42" s="314" t="s">
        <v>12</v>
      </c>
    </row>
    <row r="43" spans="2:13" ht="15.75" thickBot="1">
      <c r="B43" s="315"/>
      <c r="C43" s="316" t="s">
        <v>93</v>
      </c>
      <c r="D43" s="317">
        <f>H43*D42</f>
        <v>10</v>
      </c>
      <c r="E43" s="318" t="s">
        <v>10</v>
      </c>
      <c r="F43" s="319"/>
      <c r="G43" s="31" t="s">
        <v>120</v>
      </c>
      <c r="H43" s="24">
        <v>5</v>
      </c>
      <c r="I43" s="320"/>
      <c r="J43" s="321"/>
      <c r="K43" s="329" t="s">
        <v>332</v>
      </c>
      <c r="L43" s="32">
        <f>D43*1000/L42</f>
        <v>1.9363999999999997</v>
      </c>
      <c r="M43" s="320"/>
    </row>
    <row r="44" ht="14.25" thickBot="1" thickTop="1"/>
    <row r="45" spans="1:13" ht="13.5" thickTop="1">
      <c r="A45" s="33">
        <v>47</v>
      </c>
      <c r="B45" s="295"/>
      <c r="C45" s="296"/>
      <c r="D45" s="296"/>
      <c r="E45" s="296"/>
      <c r="F45" s="297"/>
      <c r="G45" s="298"/>
      <c r="H45" s="296"/>
      <c r="I45" s="297"/>
      <c r="J45" s="299"/>
      <c r="K45" s="296"/>
      <c r="L45" s="296"/>
      <c r="M45" s="297"/>
    </row>
    <row r="46" spans="2:13" ht="13.5" thickBot="1">
      <c r="B46" s="340" t="s">
        <v>121</v>
      </c>
      <c r="C46" s="176"/>
      <c r="D46" s="6"/>
      <c r="E46" s="180" t="s">
        <v>125</v>
      </c>
      <c r="F46" s="301"/>
      <c r="G46" s="302"/>
      <c r="H46" s="180"/>
      <c r="I46" s="301"/>
      <c r="J46" s="222"/>
      <c r="K46" s="180"/>
      <c r="L46" s="180"/>
      <c r="M46" s="301"/>
    </row>
    <row r="47" spans="2:13" ht="14.25" thickBot="1" thickTop="1">
      <c r="B47" s="300"/>
      <c r="C47" s="180"/>
      <c r="D47" s="180"/>
      <c r="E47" s="1"/>
      <c r="F47" s="29"/>
      <c r="G47" s="303" t="s">
        <v>268</v>
      </c>
      <c r="H47" s="16">
        <f>VLOOKUP(A45,H!A$2:L$68,4,FALSE)</f>
        <v>350</v>
      </c>
      <c r="I47" s="17" t="s">
        <v>4</v>
      </c>
      <c r="J47" s="222"/>
      <c r="K47" s="180"/>
      <c r="L47" s="180"/>
      <c r="M47" s="305"/>
    </row>
    <row r="48" spans="2:13" ht="13.5" thickTop="1">
      <c r="B48" s="300"/>
      <c r="C48" s="176"/>
      <c r="D48" s="180"/>
      <c r="E48" s="180"/>
      <c r="F48" s="301"/>
      <c r="G48" s="304" t="s">
        <v>269</v>
      </c>
      <c r="H48" s="10">
        <f>VLOOKUP(A45,H!A$2:L$68,5,FALSE)</f>
        <v>175</v>
      </c>
      <c r="I48" s="8" t="s">
        <v>4</v>
      </c>
      <c r="J48" s="222"/>
      <c r="K48" s="401" t="s">
        <v>329</v>
      </c>
      <c r="L48" s="402"/>
      <c r="M48" s="403"/>
    </row>
    <row r="49" spans="2:13" ht="12.75">
      <c r="B49" s="300"/>
      <c r="C49" s="180"/>
      <c r="D49" s="180"/>
      <c r="E49" s="180"/>
      <c r="F49" s="301"/>
      <c r="G49" s="304" t="s">
        <v>324</v>
      </c>
      <c r="H49" s="10">
        <f>VLOOKUP(A45,H!A$2:L$68,6,FALSE)</f>
        <v>7</v>
      </c>
      <c r="I49" s="8" t="s">
        <v>4</v>
      </c>
      <c r="J49" s="220"/>
      <c r="K49" s="308" t="s">
        <v>98</v>
      </c>
      <c r="L49" s="4">
        <f>H55*D56^2/6</f>
        <v>37.5</v>
      </c>
      <c r="M49" s="309" t="s">
        <v>6</v>
      </c>
    </row>
    <row r="50" spans="2:13" ht="13.5">
      <c r="B50" s="28"/>
      <c r="C50" s="12" t="s">
        <v>122</v>
      </c>
      <c r="D50" s="3"/>
      <c r="E50" s="180"/>
      <c r="F50" s="301"/>
      <c r="G50" s="304" t="s">
        <v>325</v>
      </c>
      <c r="H50" s="10">
        <f>VLOOKUP(A45,H!A$2:L$68,7,FALSE)</f>
        <v>11</v>
      </c>
      <c r="I50" s="8" t="s">
        <v>4</v>
      </c>
      <c r="J50" s="222"/>
      <c r="K50" s="308" t="s">
        <v>333</v>
      </c>
      <c r="L50" s="4">
        <f>(H51/100)*D56^2/2</f>
        <v>2.25</v>
      </c>
      <c r="M50" s="309" t="s">
        <v>6</v>
      </c>
    </row>
    <row r="51" spans="2:13" ht="12.75">
      <c r="B51" s="2"/>
      <c r="C51" s="3"/>
      <c r="D51" s="1"/>
      <c r="E51" s="180"/>
      <c r="F51" s="301"/>
      <c r="G51" s="304" t="s">
        <v>326</v>
      </c>
      <c r="H51" s="10">
        <f>VLOOKUP(A45,H!A$2:L$68,10,FALSE)</f>
        <v>50</v>
      </c>
      <c r="I51" s="9" t="s">
        <v>91</v>
      </c>
      <c r="J51" s="220"/>
      <c r="K51" s="308" t="s">
        <v>96</v>
      </c>
      <c r="L51" s="4">
        <f>0.5*H55*D56</f>
        <v>37.5</v>
      </c>
      <c r="M51" s="309" t="s">
        <v>5</v>
      </c>
    </row>
    <row r="52" spans="2:13" ht="12.75">
      <c r="B52" s="2"/>
      <c r="D52" s="1"/>
      <c r="E52" s="180"/>
      <c r="F52" s="301"/>
      <c r="G52" s="304" t="s">
        <v>275</v>
      </c>
      <c r="H52" s="10">
        <f>VLOOKUP(A45,H!A$2:L$68,11,FALSE)</f>
        <v>13700</v>
      </c>
      <c r="I52" s="9" t="s">
        <v>92</v>
      </c>
      <c r="J52" s="220"/>
      <c r="K52" s="313"/>
      <c r="L52" s="19"/>
      <c r="M52" s="314"/>
    </row>
    <row r="53" spans="2:13" ht="13.5">
      <c r="B53" s="2"/>
      <c r="C53" s="12"/>
      <c r="D53" s="1"/>
      <c r="E53" s="180"/>
      <c r="F53" s="301"/>
      <c r="G53" s="304" t="s">
        <v>276</v>
      </c>
      <c r="H53" s="10">
        <f>VLOOKUP(A45,H!A$2:L$68,12,FALSE)</f>
        <v>782</v>
      </c>
      <c r="I53" s="9" t="s">
        <v>18</v>
      </c>
      <c r="J53" s="220"/>
      <c r="K53" s="308" t="s">
        <v>14</v>
      </c>
      <c r="L53" s="4">
        <f>L49+L50</f>
        <v>39.75</v>
      </c>
      <c r="M53" s="309" t="s">
        <v>6</v>
      </c>
    </row>
    <row r="54" spans="2:13" ht="13.5" thickBot="1">
      <c r="B54" s="300"/>
      <c r="F54" s="301"/>
      <c r="G54" s="31" t="s">
        <v>327</v>
      </c>
      <c r="H54" s="11">
        <v>206000</v>
      </c>
      <c r="I54" s="18" t="s">
        <v>19</v>
      </c>
      <c r="J54" s="180"/>
      <c r="K54" s="328" t="s">
        <v>330</v>
      </c>
      <c r="L54" s="26">
        <f>L53*1000/H53</f>
        <v>50.831202046035806</v>
      </c>
      <c r="M54" s="314" t="s">
        <v>8</v>
      </c>
    </row>
    <row r="55" spans="2:13" ht="16.5" thickBot="1" thickTop="1">
      <c r="B55" s="300"/>
      <c r="C55" s="184"/>
      <c r="D55" s="344"/>
      <c r="E55" s="185"/>
      <c r="F55" s="180"/>
      <c r="G55" s="13" t="s">
        <v>123</v>
      </c>
      <c r="H55" s="22">
        <v>25</v>
      </c>
      <c r="I55" s="312" t="s">
        <v>124</v>
      </c>
      <c r="J55" s="220"/>
      <c r="K55" s="328" t="s">
        <v>331</v>
      </c>
      <c r="L55" s="26">
        <f>H55*(D56*1000)^4/30/H54/H52/10000</f>
        <v>2.3917511161505214</v>
      </c>
      <c r="M55" s="314" t="s">
        <v>12</v>
      </c>
    </row>
    <row r="56" spans="2:13" ht="15.75" thickBot="1">
      <c r="B56" s="315"/>
      <c r="C56" s="345" t="s">
        <v>93</v>
      </c>
      <c r="D56" s="346">
        <f>H56/1000</f>
        <v>3</v>
      </c>
      <c r="E56" s="347" t="s">
        <v>10</v>
      </c>
      <c r="F56" s="319"/>
      <c r="G56" s="31" t="s">
        <v>13</v>
      </c>
      <c r="H56" s="24">
        <v>3000</v>
      </c>
      <c r="I56" s="320" t="s">
        <v>12</v>
      </c>
      <c r="J56" s="321"/>
      <c r="K56" s="329" t="s">
        <v>332</v>
      </c>
      <c r="L56" s="32">
        <f>D56*1000/L55</f>
        <v>1254.311111111111</v>
      </c>
      <c r="M56" s="320"/>
    </row>
    <row r="57" ht="13.5" thickTop="1"/>
  </sheetData>
  <sheetProtection password="F3E5" sheet="1" objects="1" scenarios="1" selectLockedCells="1"/>
  <mergeCells count="7">
    <mergeCell ref="B1:D1"/>
    <mergeCell ref="K35:M35"/>
    <mergeCell ref="K48:M48"/>
    <mergeCell ref="K6:M6"/>
    <mergeCell ref="B7:C7"/>
    <mergeCell ref="K19:M19"/>
    <mergeCell ref="B21:C21"/>
  </mergeCells>
  <hyperlinks>
    <hyperlink ref="B1" r:id="rId1" display="www.machinemfg.com"/>
  </hyperlinks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C1"/>
  <sheetViews>
    <sheetView showGridLines="0" zoomScalePageLayoutView="0" workbookViewId="0" topLeftCell="A1">
      <selection activeCell="A1" sqref="A1:C1"/>
    </sheetView>
  </sheetViews>
  <sheetFormatPr defaultColWidth="9.140625" defaultRowHeight="12.75"/>
  <sheetData>
    <row r="1" spans="1:3" ht="12.75">
      <c r="A1" s="387" t="s">
        <v>366</v>
      </c>
      <c r="B1" s="387"/>
      <c r="C1" s="387"/>
    </row>
  </sheetData>
  <sheetProtection password="F3E5" sheet="1"/>
  <mergeCells count="1">
    <mergeCell ref="A1:C1"/>
  </mergeCells>
  <hyperlinks>
    <hyperlink ref="A1" r:id="rId1" display="www.machinemfg.com"/>
  </hyperlinks>
  <printOptions/>
  <pageMargins left="0.75" right="0.75" top="1" bottom="1" header="0.5" footer="0.5"/>
  <pageSetup orientation="portrait" paperSize="9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"/>
  <dimension ref="A1:Q60"/>
  <sheetViews>
    <sheetView showGridLines="0" zoomScalePageLayoutView="0" workbookViewId="0" topLeftCell="A1">
      <selection activeCell="O1" sqref="O1"/>
    </sheetView>
  </sheetViews>
  <sheetFormatPr defaultColWidth="9.140625" defaultRowHeight="12.75"/>
  <cols>
    <col min="1" max="1" width="2.140625" style="141" customWidth="1"/>
    <col min="2" max="2" width="10.421875" style="141" customWidth="1"/>
    <col min="3" max="3" width="11.00390625" style="141" customWidth="1"/>
    <col min="4" max="4" width="9.28125" style="141" bestFit="1" customWidth="1"/>
    <col min="5" max="5" width="6.8515625" style="141" bestFit="1" customWidth="1"/>
    <col min="6" max="6" width="19.28125" style="141" customWidth="1"/>
    <col min="7" max="7" width="9.8515625" style="141" bestFit="1" customWidth="1"/>
    <col min="8" max="8" width="10.57421875" style="141" customWidth="1"/>
    <col min="9" max="9" width="16.00390625" style="141" customWidth="1"/>
    <col min="10" max="10" width="8.7109375" style="141" bestFit="1" customWidth="1"/>
    <col min="11" max="11" width="4.8515625" style="141" bestFit="1" customWidth="1"/>
    <col min="12" max="12" width="7.28125" style="141" bestFit="1" customWidth="1"/>
    <col min="13" max="13" width="10.28125" style="141" bestFit="1" customWidth="1"/>
    <col min="14" max="14" width="13.28125" style="141" customWidth="1"/>
    <col min="15" max="15" width="10.421875" style="33" bestFit="1" customWidth="1"/>
    <col min="16" max="16" width="6.421875" style="33" bestFit="1" customWidth="1"/>
    <col min="17" max="17" width="7.00390625" style="33" bestFit="1" customWidth="1"/>
    <col min="18" max="16384" width="8.8515625" style="141" customWidth="1"/>
  </cols>
  <sheetData>
    <row r="1" spans="1:17" ht="12.75">
      <c r="A1" s="387" t="s">
        <v>366</v>
      </c>
      <c r="B1" s="387"/>
      <c r="C1" s="387"/>
      <c r="O1" s="33">
        <v>0.072</v>
      </c>
      <c r="P1" s="33">
        <v>0.12</v>
      </c>
      <c r="Q1" s="33">
        <v>0.0144</v>
      </c>
    </row>
    <row r="2" spans="15:17" ht="12.75">
      <c r="O2" s="33">
        <f>O1*I20</f>
        <v>0.144</v>
      </c>
      <c r="P2" s="33">
        <v>0.24</v>
      </c>
      <c r="Q2" s="33">
        <v>0.0576</v>
      </c>
    </row>
    <row r="3" spans="16:17" ht="12.75">
      <c r="P3" s="33">
        <v>0.36</v>
      </c>
      <c r="Q3" s="33">
        <v>0.1296</v>
      </c>
    </row>
    <row r="4" spans="9:17" ht="12.75">
      <c r="I4" s="47"/>
      <c r="P4" s="33">
        <v>0.48</v>
      </c>
      <c r="Q4" s="33">
        <v>0.2304</v>
      </c>
    </row>
    <row r="5" spans="16:17" ht="12.75">
      <c r="P5" s="33">
        <v>1.2</v>
      </c>
      <c r="Q5" s="33">
        <v>1.44</v>
      </c>
    </row>
    <row r="6" spans="16:17" ht="12.75">
      <c r="P6" s="33">
        <v>1.44</v>
      </c>
      <c r="Q6" s="33">
        <v>2.0736</v>
      </c>
    </row>
    <row r="7" spans="6:17" ht="12.75">
      <c r="F7" s="62"/>
      <c r="H7" s="142"/>
      <c r="I7" s="48"/>
      <c r="O7" s="33">
        <f>H28^2/L21^2</f>
        <v>4.003201921024513</v>
      </c>
      <c r="P7" s="33">
        <v>1.68</v>
      </c>
      <c r="Q7" s="33">
        <v>2.8223999999999996</v>
      </c>
    </row>
    <row r="8" spans="6:17" ht="12.75">
      <c r="F8" s="348"/>
      <c r="J8" s="48"/>
      <c r="O8" s="33">
        <f>H29^2/L23^2</f>
        <v>3.009377800531684</v>
      </c>
      <c r="P8" s="65">
        <v>1.92</v>
      </c>
      <c r="Q8" s="33">
        <v>3.6864</v>
      </c>
    </row>
    <row r="9" spans="15:17" ht="12.75">
      <c r="O9" s="33">
        <f>O7+O8</f>
        <v>7.012579721556197</v>
      </c>
      <c r="P9" s="33">
        <v>2.16</v>
      </c>
      <c r="Q9" s="33">
        <v>4.6656</v>
      </c>
    </row>
    <row r="10" spans="9:17" ht="12.75">
      <c r="I10" s="48"/>
      <c r="O10" s="33">
        <f>SQRT(O9)</f>
        <v>2.64812758785452</v>
      </c>
      <c r="P10" s="33">
        <v>2.4</v>
      </c>
      <c r="Q10" s="33">
        <v>5.76</v>
      </c>
    </row>
    <row r="11" ht="12.75"/>
    <row r="12" ht="12.75"/>
    <row r="13" ht="12.75">
      <c r="I13" s="48"/>
    </row>
    <row r="14" ht="12.75"/>
    <row r="15" ht="12.75"/>
    <row r="16" spans="7:8" ht="15">
      <c r="G16" s="51"/>
      <c r="H16" s="52"/>
    </row>
    <row r="17" spans="2:4" ht="12.75">
      <c r="B17" s="48"/>
      <c r="C17" s="48"/>
      <c r="D17" s="48"/>
    </row>
    <row r="18" spans="6:14" ht="12.75">
      <c r="F18" s="349" t="s">
        <v>267</v>
      </c>
      <c r="G18" s="155"/>
      <c r="H18" s="350"/>
      <c r="I18" s="349" t="s">
        <v>334</v>
      </c>
      <c r="J18" s="155"/>
      <c r="K18" s="351"/>
      <c r="L18" s="408" t="s">
        <v>345</v>
      </c>
      <c r="M18" s="409"/>
      <c r="N18" s="409"/>
    </row>
    <row r="19" spans="6:14" ht="15">
      <c r="F19" s="49" t="s">
        <v>126</v>
      </c>
      <c r="G19" s="61">
        <v>200</v>
      </c>
      <c r="H19" s="165" t="s">
        <v>4</v>
      </c>
      <c r="I19" s="61">
        <v>3</v>
      </c>
      <c r="J19" s="165" t="s">
        <v>335</v>
      </c>
      <c r="K19" s="352"/>
      <c r="L19" s="165"/>
      <c r="M19" s="165"/>
      <c r="N19" s="60">
        <v>3</v>
      </c>
    </row>
    <row r="20" spans="3:14" ht="15">
      <c r="C20" s="48"/>
      <c r="F20" s="49" t="s">
        <v>127</v>
      </c>
      <c r="G20" s="61">
        <v>90</v>
      </c>
      <c r="H20" s="165" t="s">
        <v>4</v>
      </c>
      <c r="I20" s="61">
        <v>2</v>
      </c>
      <c r="J20" s="165" t="s">
        <v>336</v>
      </c>
      <c r="K20" s="352"/>
      <c r="L20" s="406" t="s">
        <v>346</v>
      </c>
      <c r="M20" s="407"/>
      <c r="N20" s="350"/>
    </row>
    <row r="21" spans="6:14" ht="15">
      <c r="F21" s="49" t="s">
        <v>128</v>
      </c>
      <c r="G21" s="61">
        <v>120</v>
      </c>
      <c r="H21" s="165" t="s">
        <v>4</v>
      </c>
      <c r="I21" s="155"/>
      <c r="J21" s="152"/>
      <c r="K21" s="353"/>
      <c r="L21" s="411">
        <f>VLOOKUP(N19,B35:J45,3,FALSE)*D28</f>
        <v>24.990000000000002</v>
      </c>
      <c r="M21" s="411"/>
      <c r="N21" s="165" t="s">
        <v>152</v>
      </c>
    </row>
    <row r="22" spans="6:14" ht="15">
      <c r="F22" s="49" t="s">
        <v>129</v>
      </c>
      <c r="G22" s="61">
        <v>90</v>
      </c>
      <c r="H22" s="165" t="s">
        <v>4</v>
      </c>
      <c r="I22" s="167" t="s">
        <v>340</v>
      </c>
      <c r="J22" s="55">
        <f>VLOOKUP(N19,B35:J45,5,FALSE)</f>
        <v>55</v>
      </c>
      <c r="K22" s="350" t="s">
        <v>4</v>
      </c>
      <c r="L22" s="406" t="s">
        <v>347</v>
      </c>
      <c r="M22" s="407"/>
      <c r="N22" s="350"/>
    </row>
    <row r="23" spans="2:14" ht="15">
      <c r="B23" s="349" t="s">
        <v>337</v>
      </c>
      <c r="C23" s="155"/>
      <c r="D23" s="350"/>
      <c r="F23" s="49" t="s">
        <v>132</v>
      </c>
      <c r="G23" s="61">
        <v>20</v>
      </c>
      <c r="H23" s="165" t="s">
        <v>4</v>
      </c>
      <c r="I23" s="167" t="s">
        <v>341</v>
      </c>
      <c r="J23" s="55">
        <f>VLOOKUP(N19,B35:J45,6,FALSE)</f>
        <v>220</v>
      </c>
      <c r="K23" s="350" t="s">
        <v>4</v>
      </c>
      <c r="L23" s="411">
        <f>VLOOKUP(N19,B35:J45,4,FALSE)*D28</f>
        <v>19.215</v>
      </c>
      <c r="M23" s="411"/>
      <c r="N23" s="165" t="s">
        <v>152</v>
      </c>
    </row>
    <row r="24" spans="2:14" ht="15">
      <c r="B24" s="56" t="s">
        <v>144</v>
      </c>
      <c r="C24" s="61">
        <v>200</v>
      </c>
      <c r="D24" s="165" t="s">
        <v>5</v>
      </c>
      <c r="F24" s="53"/>
      <c r="G24" s="54"/>
      <c r="H24" s="354"/>
      <c r="I24" s="167" t="s">
        <v>342</v>
      </c>
      <c r="J24" s="55">
        <f>VLOOKUP(N19,B35:J45,7,FALSE)</f>
        <v>55</v>
      </c>
      <c r="K24" s="350" t="s">
        <v>4</v>
      </c>
      <c r="L24" s="175"/>
      <c r="M24" s="175"/>
      <c r="N24" s="175"/>
    </row>
    <row r="25" spans="2:14" ht="15">
      <c r="B25" s="56" t="s">
        <v>154</v>
      </c>
      <c r="C25" s="61">
        <v>150</v>
      </c>
      <c r="D25" s="165" t="s">
        <v>12</v>
      </c>
      <c r="F25" s="50" t="s">
        <v>130</v>
      </c>
      <c r="G25" s="46">
        <f>2*G20+G19</f>
        <v>380</v>
      </c>
      <c r="H25" s="165" t="s">
        <v>12</v>
      </c>
      <c r="I25" s="167" t="s">
        <v>343</v>
      </c>
      <c r="J25" s="55">
        <f>VLOOKUP(N19,B35:J45,8,FALSE)</f>
        <v>110</v>
      </c>
      <c r="K25" s="350" t="s">
        <v>4</v>
      </c>
      <c r="L25" s="180"/>
      <c r="M25" s="180"/>
      <c r="N25" s="180"/>
    </row>
    <row r="26" spans="2:11" ht="15">
      <c r="B26" s="57" t="s">
        <v>14</v>
      </c>
      <c r="C26" s="58">
        <f>C24*C25/1000</f>
        <v>30</v>
      </c>
      <c r="D26" s="165" t="s">
        <v>6</v>
      </c>
      <c r="F26" s="50" t="s">
        <v>131</v>
      </c>
      <c r="G26" s="46">
        <f>2*G22+(I19-1)*G21</f>
        <v>420</v>
      </c>
      <c r="H26" s="165" t="s">
        <v>12</v>
      </c>
      <c r="I26" s="235" t="s">
        <v>344</v>
      </c>
      <c r="J26" s="55">
        <f>VLOOKUP(N19,B35:J45,9,FALSE)</f>
        <v>110</v>
      </c>
      <c r="K26" s="355" t="s">
        <v>153</v>
      </c>
    </row>
    <row r="27" spans="2:11" ht="12.75">
      <c r="B27" s="165" t="s">
        <v>338</v>
      </c>
      <c r="C27" s="165"/>
      <c r="D27" s="165"/>
      <c r="E27" s="59">
        <v>3</v>
      </c>
      <c r="F27" s="360" t="s">
        <v>351</v>
      </c>
      <c r="G27" s="155"/>
      <c r="H27" s="152"/>
      <c r="I27" s="152"/>
      <c r="J27" s="152"/>
      <c r="K27" s="350"/>
    </row>
    <row r="28" spans="2:11" ht="27" customHeight="1">
      <c r="B28" s="412" t="s">
        <v>339</v>
      </c>
      <c r="C28" s="412"/>
      <c r="D28" s="55">
        <f>VLOOKUP(E27,B49:D57,3,FALSE)</f>
        <v>1.05</v>
      </c>
      <c r="F28" s="413" t="s">
        <v>348</v>
      </c>
      <c r="G28" s="414"/>
      <c r="H28" s="63">
        <f>C26*(n-1)*dist/1000/O2</f>
        <v>50.00000000000001</v>
      </c>
      <c r="I28" s="356" t="s">
        <v>152</v>
      </c>
      <c r="J28" s="276"/>
      <c r="K28" s="351"/>
    </row>
    <row r="29" spans="6:11" ht="15">
      <c r="F29" s="415" t="s">
        <v>349</v>
      </c>
      <c r="G29" s="416"/>
      <c r="H29" s="63">
        <f>C24/I20/n</f>
        <v>33.333333333333336</v>
      </c>
      <c r="I29" s="224" t="s">
        <v>152</v>
      </c>
      <c r="J29" s="179"/>
      <c r="K29" s="357"/>
    </row>
    <row r="30" spans="6:11" ht="15">
      <c r="F30" s="415" t="s">
        <v>350</v>
      </c>
      <c r="G30" s="416"/>
      <c r="H30" s="63">
        <f>O10</f>
        <v>2.64812758785452</v>
      </c>
      <c r="I30" s="64" t="str">
        <f>IF(H30&lt;=1,"&lt;=1","&gt;1")</f>
        <v>&gt;1</v>
      </c>
      <c r="J30" s="358"/>
      <c r="K30" s="353"/>
    </row>
    <row r="31" spans="6:11" ht="12.75">
      <c r="F31" s="359"/>
      <c r="G31" s="359"/>
      <c r="H31" s="359"/>
      <c r="I31" s="359"/>
      <c r="J31" s="359"/>
      <c r="K31" s="359"/>
    </row>
    <row r="33" spans="1:17" s="269" customFormat="1" ht="12.75">
      <c r="A33" s="270"/>
      <c r="B33" s="270"/>
      <c r="C33" s="270"/>
      <c r="D33" s="270"/>
      <c r="E33" s="270"/>
      <c r="F33" s="270"/>
      <c r="G33" s="270"/>
      <c r="H33" s="270"/>
      <c r="I33" s="270"/>
      <c r="J33" s="270"/>
      <c r="K33" s="270"/>
      <c r="L33" s="270"/>
      <c r="O33" s="380"/>
      <c r="P33" s="380"/>
      <c r="Q33" s="380"/>
    </row>
    <row r="34" spans="1:17" s="269" customFormat="1" ht="12.75">
      <c r="A34" s="270"/>
      <c r="B34" s="272" t="s">
        <v>155</v>
      </c>
      <c r="C34" s="270"/>
      <c r="D34" s="272" t="s">
        <v>358</v>
      </c>
      <c r="E34" s="272" t="s">
        <v>264</v>
      </c>
      <c r="F34" s="270" t="s">
        <v>359</v>
      </c>
      <c r="G34" s="270" t="s">
        <v>360</v>
      </c>
      <c r="H34" s="270" t="s">
        <v>361</v>
      </c>
      <c r="I34" s="270" t="s">
        <v>362</v>
      </c>
      <c r="J34" s="270" t="s">
        <v>363</v>
      </c>
      <c r="K34" s="270"/>
      <c r="L34" s="270"/>
      <c r="O34" s="380"/>
      <c r="P34" s="380"/>
      <c r="Q34" s="380"/>
    </row>
    <row r="35" spans="1:17" s="269" customFormat="1" ht="12.75">
      <c r="A35" s="270"/>
      <c r="B35" s="270">
        <v>1</v>
      </c>
      <c r="C35" s="272" t="s">
        <v>133</v>
      </c>
      <c r="D35" s="272">
        <v>12.4</v>
      </c>
      <c r="E35" s="272">
        <v>7.9</v>
      </c>
      <c r="F35" s="272">
        <v>40</v>
      </c>
      <c r="G35" s="272">
        <v>160</v>
      </c>
      <c r="H35" s="272">
        <v>40</v>
      </c>
      <c r="I35" s="272">
        <v>80</v>
      </c>
      <c r="J35" s="272">
        <v>80</v>
      </c>
      <c r="K35" s="270"/>
      <c r="L35" s="270"/>
      <c r="O35" s="380"/>
      <c r="P35" s="380"/>
      <c r="Q35" s="380"/>
    </row>
    <row r="36" spans="1:17" s="269" customFormat="1" ht="12.75">
      <c r="A36" s="270"/>
      <c r="B36" s="270">
        <v>2</v>
      </c>
      <c r="C36" s="272" t="s">
        <v>134</v>
      </c>
      <c r="D36" s="272">
        <v>16.6</v>
      </c>
      <c r="E36" s="272">
        <v>12.6</v>
      </c>
      <c r="F36" s="272">
        <v>45</v>
      </c>
      <c r="G36" s="272">
        <v>180</v>
      </c>
      <c r="H36" s="272">
        <v>45</v>
      </c>
      <c r="I36" s="272">
        <v>90</v>
      </c>
      <c r="J36" s="272">
        <v>90</v>
      </c>
      <c r="K36" s="270"/>
      <c r="L36" s="270"/>
      <c r="O36" s="380"/>
      <c r="P36" s="380"/>
      <c r="Q36" s="380"/>
    </row>
    <row r="37" spans="1:17" s="269" customFormat="1" ht="12.75">
      <c r="A37" s="270"/>
      <c r="B37" s="270">
        <v>3</v>
      </c>
      <c r="C37" s="272" t="s">
        <v>135</v>
      </c>
      <c r="D37" s="272">
        <v>23.8</v>
      </c>
      <c r="E37" s="272">
        <v>18.3</v>
      </c>
      <c r="F37" s="272">
        <v>55</v>
      </c>
      <c r="G37" s="272">
        <v>220</v>
      </c>
      <c r="H37" s="272">
        <v>55</v>
      </c>
      <c r="I37" s="272">
        <v>110</v>
      </c>
      <c r="J37" s="272">
        <v>110</v>
      </c>
      <c r="K37" s="270"/>
      <c r="L37" s="270"/>
      <c r="O37" s="380"/>
      <c r="P37" s="380"/>
      <c r="Q37" s="380"/>
    </row>
    <row r="38" spans="1:17" s="269" customFormat="1" ht="12.75">
      <c r="A38" s="270"/>
      <c r="B38" s="270">
        <v>4</v>
      </c>
      <c r="C38" s="272" t="s">
        <v>136</v>
      </c>
      <c r="D38" s="272">
        <v>34.7</v>
      </c>
      <c r="E38" s="272">
        <v>34.6</v>
      </c>
      <c r="F38" s="272">
        <v>65</v>
      </c>
      <c r="G38" s="272">
        <v>250</v>
      </c>
      <c r="H38" s="272">
        <v>65</v>
      </c>
      <c r="I38" s="272">
        <v>140</v>
      </c>
      <c r="J38" s="272">
        <v>125</v>
      </c>
      <c r="K38" s="270"/>
      <c r="L38" s="270"/>
      <c r="O38" s="380"/>
      <c r="P38" s="380"/>
      <c r="Q38" s="380"/>
    </row>
    <row r="39" spans="1:17" s="269" customFormat="1" ht="12.75">
      <c r="A39" s="270"/>
      <c r="B39" s="270">
        <v>5</v>
      </c>
      <c r="C39" s="272" t="s">
        <v>137</v>
      </c>
      <c r="D39" s="272">
        <v>62.9</v>
      </c>
      <c r="E39" s="272">
        <v>54</v>
      </c>
      <c r="F39" s="272">
        <v>90</v>
      </c>
      <c r="G39" s="272">
        <v>340</v>
      </c>
      <c r="H39" s="272">
        <v>90</v>
      </c>
      <c r="I39" s="272">
        <v>180</v>
      </c>
      <c r="J39" s="272">
        <v>170</v>
      </c>
      <c r="K39" s="270"/>
      <c r="L39" s="270"/>
      <c r="O39" s="380"/>
      <c r="P39" s="380"/>
      <c r="Q39" s="380"/>
    </row>
    <row r="40" spans="1:17" s="269" customFormat="1" ht="12.75">
      <c r="A40" s="270"/>
      <c r="B40" s="270">
        <v>6</v>
      </c>
      <c r="C40" s="272" t="s">
        <v>138</v>
      </c>
      <c r="D40" s="272">
        <v>90.6</v>
      </c>
      <c r="E40" s="272">
        <v>77.8</v>
      </c>
      <c r="F40" s="272">
        <v>120</v>
      </c>
      <c r="G40" s="272">
        <v>420</v>
      </c>
      <c r="H40" s="272">
        <v>120</v>
      </c>
      <c r="I40" s="272">
        <v>210</v>
      </c>
      <c r="J40" s="272">
        <v>210</v>
      </c>
      <c r="K40" s="270"/>
      <c r="L40" s="270"/>
      <c r="O40" s="380"/>
      <c r="P40" s="380"/>
      <c r="Q40" s="380"/>
    </row>
    <row r="41" spans="1:17" s="269" customFormat="1" ht="12.75">
      <c r="A41" s="270"/>
      <c r="B41" s="270">
        <v>7</v>
      </c>
      <c r="C41" s="272" t="s">
        <v>139</v>
      </c>
      <c r="D41" s="272">
        <v>110.9</v>
      </c>
      <c r="E41" s="272">
        <v>164</v>
      </c>
      <c r="F41" s="272">
        <v>120</v>
      </c>
      <c r="G41" s="272">
        <v>480</v>
      </c>
      <c r="H41" s="272">
        <v>120</v>
      </c>
      <c r="I41" s="272">
        <v>240</v>
      </c>
      <c r="J41" s="272">
        <v>240</v>
      </c>
      <c r="K41" s="270"/>
      <c r="L41" s="270"/>
      <c r="O41" s="380"/>
      <c r="P41" s="380"/>
      <c r="Q41" s="380"/>
    </row>
    <row r="42" spans="1:17" s="269" customFormat="1" ht="12.75">
      <c r="A42" s="270"/>
      <c r="B42" s="270">
        <v>8</v>
      </c>
      <c r="C42" s="272" t="s">
        <v>140</v>
      </c>
      <c r="D42" s="272">
        <v>145.6</v>
      </c>
      <c r="E42" s="272">
        <v>199.3</v>
      </c>
      <c r="F42" s="272">
        <v>140</v>
      </c>
      <c r="G42" s="272">
        <v>540</v>
      </c>
      <c r="H42" s="272">
        <v>140</v>
      </c>
      <c r="I42" s="272">
        <v>270</v>
      </c>
      <c r="J42" s="272">
        <v>270</v>
      </c>
      <c r="K42" s="270"/>
      <c r="L42" s="270"/>
      <c r="O42" s="380"/>
      <c r="P42" s="380"/>
      <c r="Q42" s="380"/>
    </row>
    <row r="43" spans="1:17" s="269" customFormat="1" ht="12.75">
      <c r="A43" s="270"/>
      <c r="B43" s="270">
        <v>9</v>
      </c>
      <c r="C43" s="272" t="s">
        <v>141</v>
      </c>
      <c r="D43" s="272">
        <v>171</v>
      </c>
      <c r="E43" s="272">
        <v>248.4</v>
      </c>
      <c r="F43" s="272">
        <v>160</v>
      </c>
      <c r="G43" s="272">
        <v>600</v>
      </c>
      <c r="H43" s="272">
        <v>160</v>
      </c>
      <c r="I43" s="272">
        <v>300</v>
      </c>
      <c r="J43" s="272">
        <v>300</v>
      </c>
      <c r="K43" s="270"/>
      <c r="L43" s="270"/>
      <c r="O43" s="380"/>
      <c r="P43" s="380"/>
      <c r="Q43" s="380"/>
    </row>
    <row r="44" spans="1:17" s="269" customFormat="1" ht="12.75">
      <c r="A44" s="270"/>
      <c r="B44" s="270">
        <v>10</v>
      </c>
      <c r="C44" s="272" t="s">
        <v>142</v>
      </c>
      <c r="D44" s="272">
        <v>203.3</v>
      </c>
      <c r="E44" s="272">
        <v>291.5</v>
      </c>
      <c r="F44" s="272">
        <v>180</v>
      </c>
      <c r="G44" s="272">
        <v>660</v>
      </c>
      <c r="H44" s="272">
        <v>180</v>
      </c>
      <c r="I44" s="272">
        <v>330</v>
      </c>
      <c r="J44" s="272">
        <v>330</v>
      </c>
      <c r="K44" s="270"/>
      <c r="L44" s="270"/>
      <c r="O44" s="380"/>
      <c r="P44" s="380"/>
      <c r="Q44" s="380"/>
    </row>
    <row r="45" spans="1:17" s="269" customFormat="1" ht="12.75">
      <c r="A45" s="270"/>
      <c r="B45" s="270">
        <v>11</v>
      </c>
      <c r="C45" s="272" t="s">
        <v>143</v>
      </c>
      <c r="D45" s="272">
        <v>232.9</v>
      </c>
      <c r="E45" s="272">
        <v>350.6</v>
      </c>
      <c r="F45" s="272">
        <v>180</v>
      </c>
      <c r="G45" s="272">
        <v>720</v>
      </c>
      <c r="H45" s="272">
        <v>180</v>
      </c>
      <c r="I45" s="272">
        <v>360</v>
      </c>
      <c r="J45" s="272">
        <v>360</v>
      </c>
      <c r="K45" s="270"/>
      <c r="L45" s="270"/>
      <c r="O45" s="380"/>
      <c r="P45" s="380"/>
      <c r="Q45" s="380"/>
    </row>
    <row r="46" spans="1:17" s="269" customFormat="1" ht="12.75">
      <c r="A46" s="270"/>
      <c r="B46" s="410" t="s">
        <v>364</v>
      </c>
      <c r="C46" s="410"/>
      <c r="D46" s="410"/>
      <c r="E46" s="410"/>
      <c r="F46" s="270"/>
      <c r="G46" s="270"/>
      <c r="H46" s="270"/>
      <c r="I46" s="270"/>
      <c r="J46" s="270"/>
      <c r="K46" s="270"/>
      <c r="L46" s="270"/>
      <c r="O46" s="380"/>
      <c r="P46" s="380"/>
      <c r="Q46" s="380"/>
    </row>
    <row r="47" spans="1:17" s="269" customFormat="1" ht="12.75">
      <c r="A47" s="270"/>
      <c r="B47" s="270"/>
      <c r="C47" s="270"/>
      <c r="D47" s="270"/>
      <c r="E47" s="270"/>
      <c r="F47" s="270"/>
      <c r="G47" s="270"/>
      <c r="H47" s="270"/>
      <c r="I47" s="270"/>
      <c r="J47" s="270"/>
      <c r="K47" s="270"/>
      <c r="L47" s="270"/>
      <c r="O47" s="380"/>
      <c r="P47" s="380"/>
      <c r="Q47" s="380"/>
    </row>
    <row r="48" spans="1:17" s="269" customFormat="1" ht="12.75">
      <c r="A48" s="270"/>
      <c r="B48" s="410" t="s">
        <v>365</v>
      </c>
      <c r="C48" s="410"/>
      <c r="D48" s="410"/>
      <c r="E48" s="270"/>
      <c r="F48" s="270"/>
      <c r="G48" s="270"/>
      <c r="H48" s="270"/>
      <c r="I48" s="270"/>
      <c r="J48" s="270"/>
      <c r="K48" s="270"/>
      <c r="L48" s="270"/>
      <c r="O48" s="380"/>
      <c r="P48" s="380"/>
      <c r="Q48" s="380"/>
    </row>
    <row r="49" spans="1:17" s="269" customFormat="1" ht="12.75">
      <c r="A49" s="270"/>
      <c r="B49" s="270">
        <v>1</v>
      </c>
      <c r="C49" s="272" t="s">
        <v>156</v>
      </c>
      <c r="D49" s="272">
        <v>0.94</v>
      </c>
      <c r="E49" s="270"/>
      <c r="F49" s="270"/>
      <c r="G49" s="270"/>
      <c r="H49" s="270"/>
      <c r="I49" s="270"/>
      <c r="J49" s="270"/>
      <c r="K49" s="270"/>
      <c r="L49" s="270"/>
      <c r="O49" s="380"/>
      <c r="P49" s="380"/>
      <c r="Q49" s="380"/>
    </row>
    <row r="50" spans="1:17" s="269" customFormat="1" ht="12.75">
      <c r="A50" s="270"/>
      <c r="B50" s="270">
        <v>2</v>
      </c>
      <c r="C50" s="272" t="s">
        <v>155</v>
      </c>
      <c r="D50" s="272">
        <v>1</v>
      </c>
      <c r="E50" s="270"/>
      <c r="F50" s="270"/>
      <c r="G50" s="270"/>
      <c r="H50" s="270"/>
      <c r="I50" s="270"/>
      <c r="J50" s="270"/>
      <c r="K50" s="270"/>
      <c r="L50" s="270"/>
      <c r="O50" s="380"/>
      <c r="P50" s="380"/>
      <c r="Q50" s="380"/>
    </row>
    <row r="51" spans="1:17" s="269" customFormat="1" ht="12.75">
      <c r="A51" s="270"/>
      <c r="B51" s="270">
        <v>3</v>
      </c>
      <c r="C51" s="272" t="s">
        <v>145</v>
      </c>
      <c r="D51" s="272">
        <v>1.05</v>
      </c>
      <c r="E51" s="270"/>
      <c r="F51" s="270"/>
      <c r="G51" s="270"/>
      <c r="H51" s="270"/>
      <c r="I51" s="270"/>
      <c r="J51" s="270"/>
      <c r="K51" s="270"/>
      <c r="L51" s="270"/>
      <c r="O51" s="380"/>
      <c r="P51" s="380"/>
      <c r="Q51" s="380"/>
    </row>
    <row r="52" spans="1:17" s="269" customFormat="1" ht="12.75">
      <c r="A52" s="270"/>
      <c r="B52" s="270">
        <v>4</v>
      </c>
      <c r="C52" s="272" t="s">
        <v>146</v>
      </c>
      <c r="D52" s="272">
        <v>1.1</v>
      </c>
      <c r="E52" s="270"/>
      <c r="F52" s="270"/>
      <c r="G52" s="270"/>
      <c r="H52" s="270"/>
      <c r="I52" s="270"/>
      <c r="J52" s="270"/>
      <c r="K52" s="270"/>
      <c r="L52" s="270"/>
      <c r="O52" s="380"/>
      <c r="P52" s="380"/>
      <c r="Q52" s="380"/>
    </row>
    <row r="53" spans="1:17" s="269" customFormat="1" ht="12.75">
      <c r="A53" s="270"/>
      <c r="B53" s="270">
        <v>5</v>
      </c>
      <c r="C53" s="272" t="s">
        <v>147</v>
      </c>
      <c r="D53" s="272">
        <v>1.15</v>
      </c>
      <c r="E53" s="270"/>
      <c r="F53" s="270"/>
      <c r="G53" s="270"/>
      <c r="H53" s="270"/>
      <c r="I53" s="270"/>
      <c r="J53" s="270"/>
      <c r="K53" s="270"/>
      <c r="L53" s="270"/>
      <c r="O53" s="380"/>
      <c r="P53" s="380"/>
      <c r="Q53" s="380"/>
    </row>
    <row r="54" spans="1:12" ht="12.75">
      <c r="A54" s="67"/>
      <c r="B54" s="67">
        <v>6</v>
      </c>
      <c r="C54" s="66" t="s">
        <v>148</v>
      </c>
      <c r="D54" s="66">
        <v>1.2</v>
      </c>
      <c r="E54" s="67"/>
      <c r="F54" s="67"/>
      <c r="G54" s="67"/>
      <c r="H54" s="67"/>
      <c r="I54" s="67"/>
      <c r="J54" s="67"/>
      <c r="K54" s="67"/>
      <c r="L54" s="67"/>
    </row>
    <row r="55" spans="1:12" ht="12.75">
      <c r="A55" s="67"/>
      <c r="B55" s="67">
        <v>7</v>
      </c>
      <c r="C55" s="66" t="s">
        <v>149</v>
      </c>
      <c r="D55" s="66">
        <v>1.25</v>
      </c>
      <c r="E55" s="67"/>
      <c r="F55" s="67"/>
      <c r="G55" s="67"/>
      <c r="H55" s="67"/>
      <c r="I55" s="67"/>
      <c r="J55" s="67"/>
      <c r="K55" s="67"/>
      <c r="L55" s="67"/>
    </row>
    <row r="56" spans="1:12" ht="12.75">
      <c r="A56" s="67"/>
      <c r="B56" s="67">
        <v>8</v>
      </c>
      <c r="C56" s="66" t="s">
        <v>150</v>
      </c>
      <c r="D56" s="66">
        <v>1.3</v>
      </c>
      <c r="E56" s="67"/>
      <c r="F56" s="67"/>
      <c r="G56" s="67"/>
      <c r="H56" s="67"/>
      <c r="I56" s="67"/>
      <c r="J56" s="67"/>
      <c r="K56" s="67"/>
      <c r="L56" s="67"/>
    </row>
    <row r="57" spans="1:12" ht="12.75">
      <c r="A57" s="67"/>
      <c r="B57" s="67">
        <v>9</v>
      </c>
      <c r="C57" s="66" t="s">
        <v>151</v>
      </c>
      <c r="D57" s="66">
        <v>1.35</v>
      </c>
      <c r="E57" s="67"/>
      <c r="F57" s="67"/>
      <c r="G57" s="67"/>
      <c r="H57" s="67"/>
      <c r="I57" s="67"/>
      <c r="J57" s="67"/>
      <c r="K57" s="67"/>
      <c r="L57" s="67"/>
    </row>
    <row r="58" spans="1:12" ht="12.75">
      <c r="A58" s="286"/>
      <c r="B58" s="286"/>
      <c r="C58" s="286"/>
      <c r="D58" s="286"/>
      <c r="E58" s="286"/>
      <c r="F58" s="286"/>
      <c r="G58" s="286"/>
      <c r="H58" s="286"/>
      <c r="I58" s="286"/>
      <c r="J58" s="286"/>
      <c r="K58" s="286"/>
      <c r="L58" s="286"/>
    </row>
    <row r="59" spans="1:12" ht="12.75">
      <c r="A59" s="286"/>
      <c r="B59" s="286"/>
      <c r="C59" s="286"/>
      <c r="D59" s="286"/>
      <c r="E59" s="286"/>
      <c r="F59" s="286"/>
      <c r="G59" s="286"/>
      <c r="H59" s="286"/>
      <c r="I59" s="286"/>
      <c r="J59" s="286"/>
      <c r="K59" s="286"/>
      <c r="L59" s="286"/>
    </row>
    <row r="60" spans="1:12" ht="12.75">
      <c r="A60" s="286"/>
      <c r="B60" s="286"/>
      <c r="C60" s="286"/>
      <c r="D60" s="286"/>
      <c r="E60" s="286"/>
      <c r="F60" s="286"/>
      <c r="G60" s="286"/>
      <c r="H60" s="286"/>
      <c r="I60" s="286"/>
      <c r="J60" s="286"/>
      <c r="K60" s="286"/>
      <c r="L60" s="286"/>
    </row>
  </sheetData>
  <sheetProtection password="F3E5" sheet="1" objects="1" scenarios="1" selectLockedCells="1"/>
  <mergeCells count="12">
    <mergeCell ref="F29:G29"/>
    <mergeCell ref="F30:G30"/>
    <mergeCell ref="L20:M20"/>
    <mergeCell ref="L22:M22"/>
    <mergeCell ref="L18:N18"/>
    <mergeCell ref="A1:C1"/>
    <mergeCell ref="B48:D48"/>
    <mergeCell ref="B46:E46"/>
    <mergeCell ref="L21:M21"/>
    <mergeCell ref="L23:M23"/>
    <mergeCell ref="B28:C28"/>
    <mergeCell ref="F28:G28"/>
  </mergeCells>
  <conditionalFormatting sqref="G19">
    <cfRule type="cellIs" priority="1" dxfId="0" operator="lessThan" stopIfTrue="1">
      <formula>$J$22</formula>
    </cfRule>
    <cfRule type="cellIs" priority="2" dxfId="0" operator="greaterThan" stopIfTrue="1">
      <formula>$J$23</formula>
    </cfRule>
  </conditionalFormatting>
  <conditionalFormatting sqref="G20">
    <cfRule type="cellIs" priority="3" dxfId="5" operator="lessThan" stopIfTrue="1">
      <formula>$J$24</formula>
    </cfRule>
    <cfRule type="cellIs" priority="4" dxfId="5" operator="greaterThan" stopIfTrue="1">
      <formula>$J$25</formula>
    </cfRule>
  </conditionalFormatting>
  <conditionalFormatting sqref="G21">
    <cfRule type="cellIs" priority="5" dxfId="0" operator="lessThan" stopIfTrue="1">
      <formula>$J$22</formula>
    </cfRule>
    <cfRule type="cellIs" priority="6" dxfId="5" operator="greaterThan" stopIfTrue="1">
      <formula>$J$23</formula>
    </cfRule>
  </conditionalFormatting>
  <conditionalFormatting sqref="G22">
    <cfRule type="cellIs" priority="7" dxfId="5" operator="lessThan" stopIfTrue="1">
      <formula>$J$24</formula>
    </cfRule>
    <cfRule type="cellIs" priority="8" dxfId="0" operator="greaterThan" stopIfTrue="1">
      <formula>$J$25</formula>
    </cfRule>
  </conditionalFormatting>
  <conditionalFormatting sqref="H28">
    <cfRule type="cellIs" priority="9" dxfId="0" operator="greaterThan" stopIfTrue="1">
      <formula>$L$21</formula>
    </cfRule>
  </conditionalFormatting>
  <conditionalFormatting sqref="H29">
    <cfRule type="cellIs" priority="10" dxfId="0" operator="greaterThan" stopIfTrue="1">
      <formula>$L$23</formula>
    </cfRule>
  </conditionalFormatting>
  <conditionalFormatting sqref="H30">
    <cfRule type="cellIs" priority="11" dxfId="0" operator="greaterThan" stopIfTrue="1">
      <formula>1</formula>
    </cfRule>
  </conditionalFormatting>
  <conditionalFormatting sqref="I19">
    <cfRule type="cellIs" priority="12" dxfId="0" operator="lessThan" stopIfTrue="1">
      <formula>2</formula>
    </cfRule>
  </conditionalFormatting>
  <hyperlinks>
    <hyperlink ref="A1" r:id="rId1" display="www.machinemfg.com"/>
  </hyperlinks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Shane</cp:lastModifiedBy>
  <dcterms:created xsi:type="dcterms:W3CDTF">1996-10-14T23:33:28Z</dcterms:created>
  <dcterms:modified xsi:type="dcterms:W3CDTF">2021-10-16T07:34:12Z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